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5910" yWindow="1545" windowWidth="14400" windowHeight="8385" activeTab="3"/>
  </bookViews>
  <sheets>
    <sheet name="Income Statement" sheetId="1" r:id="rId1"/>
    <sheet name="Balance Sheet" sheetId="2" r:id="rId2"/>
    <sheet name="Cashflow Statement" sheetId="3" r:id="rId3"/>
    <sheet name="Ratios" sheetId="4" r:id="rId4"/>
  </sheets>
  <calcPr calcId="124519"/>
  <fileRecoveryPr repairLoad="1"/>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5" i="3"/>
  <c r="E24"/>
  <c r="F24"/>
  <c r="G24"/>
  <c r="D24"/>
  <c r="E23"/>
  <c r="E25" s="1"/>
  <c r="F23"/>
  <c r="F25" s="1"/>
  <c r="G23"/>
  <c r="G25" s="1"/>
  <c r="D23"/>
  <c r="D25" s="1"/>
  <c r="C22"/>
  <c r="G12"/>
  <c r="G11"/>
  <c r="F11"/>
  <c r="E11"/>
  <c r="D11"/>
  <c r="C11"/>
  <c r="D10"/>
  <c r="E10"/>
  <c r="F10"/>
  <c r="G10"/>
  <c r="C10"/>
  <c r="D9"/>
  <c r="E9"/>
  <c r="C9"/>
  <c r="D8"/>
  <c r="E8"/>
  <c r="F8"/>
  <c r="G8"/>
  <c r="C8"/>
  <c r="G6" i="4" l="1"/>
  <c r="F6"/>
  <c r="E6"/>
  <c r="D6"/>
  <c r="C6"/>
  <c r="G7"/>
  <c r="F7"/>
  <c r="E7"/>
  <c r="D7"/>
  <c r="C7"/>
  <c r="G12"/>
  <c r="F12"/>
  <c r="E12"/>
  <c r="D12"/>
  <c r="C12"/>
  <c r="G11"/>
  <c r="F11"/>
  <c r="E11"/>
  <c r="D11"/>
  <c r="C11"/>
  <c r="E10"/>
  <c r="D10"/>
  <c r="C10"/>
  <c r="G6" i="3"/>
  <c r="F6"/>
  <c r="E6"/>
  <c r="D6"/>
  <c r="C6"/>
  <c r="G5"/>
  <c r="F5"/>
  <c r="E5"/>
  <c r="D5"/>
  <c r="C5"/>
  <c r="G19" i="1"/>
  <c r="C24" i="2"/>
  <c r="D24" s="1"/>
  <c r="E24" s="1"/>
  <c r="F24" s="1"/>
  <c r="C10"/>
  <c r="D10" s="1"/>
  <c r="E10" s="1"/>
  <c r="F10" s="1"/>
  <c r="G10" s="1"/>
  <c r="G9"/>
  <c r="F9"/>
  <c r="E9"/>
  <c r="D9"/>
  <c r="C9"/>
  <c r="F7"/>
  <c r="G17"/>
  <c r="G13" i="3" s="1"/>
  <c r="F17" i="2"/>
  <c r="F13" i="3" s="1"/>
  <c r="E17" i="2"/>
  <c r="D17"/>
  <c r="D13" i="3" s="1"/>
  <c r="C17" i="2"/>
  <c r="C13" i="3" s="1"/>
  <c r="C16" i="1"/>
  <c r="E16" i="2"/>
  <c r="D16"/>
  <c r="D12" i="3" s="1"/>
  <c r="C16" i="2"/>
  <c r="C12" i="3" s="1"/>
  <c r="E16" i="1"/>
  <c r="D16"/>
  <c r="E9"/>
  <c r="G13"/>
  <c r="F13"/>
  <c r="E13"/>
  <c r="G12"/>
  <c r="F12"/>
  <c r="E12"/>
  <c r="D12"/>
  <c r="C12"/>
  <c r="G11"/>
  <c r="F11"/>
  <c r="E11"/>
  <c r="D11"/>
  <c r="C11"/>
  <c r="G10"/>
  <c r="F10"/>
  <c r="E10"/>
  <c r="D10"/>
  <c r="C10"/>
  <c r="G9"/>
  <c r="F9"/>
  <c r="D9"/>
  <c r="C9"/>
  <c r="G8"/>
  <c r="F8"/>
  <c r="E8"/>
  <c r="D8"/>
  <c r="C8"/>
  <c r="G5"/>
  <c r="F5"/>
  <c r="E5"/>
  <c r="D5"/>
  <c r="C5"/>
  <c r="G4"/>
  <c r="D4"/>
  <c r="E4" s="1"/>
  <c r="F4" s="1"/>
  <c r="F25" i="2" l="1"/>
  <c r="F13" i="4" s="1"/>
  <c r="G24" i="2"/>
  <c r="G25" s="1"/>
  <c r="G13" i="4" s="1"/>
  <c r="G9" i="3"/>
  <c r="G14" s="1"/>
  <c r="G27" s="1"/>
  <c r="F9"/>
  <c r="C14"/>
  <c r="C27" s="1"/>
  <c r="C29" s="1"/>
  <c r="E12"/>
  <c r="E14" s="1"/>
  <c r="E27" s="1"/>
  <c r="F12"/>
  <c r="D14"/>
  <c r="D27" s="1"/>
  <c r="E13"/>
  <c r="F14"/>
  <c r="F27" s="1"/>
  <c r="P38" i="4"/>
  <c r="P37"/>
  <c r="P14" i="3"/>
  <c r="Q14" s="1"/>
  <c r="P13"/>
  <c r="Q13" s="1"/>
  <c r="P12"/>
  <c r="Q12" s="1"/>
  <c r="P20"/>
  <c r="Q20" s="1"/>
  <c r="P11"/>
  <c r="Q11" s="1"/>
  <c r="C5" i="2" l="1"/>
  <c r="D28" i="3"/>
  <c r="D29" s="1"/>
  <c r="N38" i="4"/>
  <c r="N37"/>
  <c r="N20" i="3"/>
  <c r="D6" i="1"/>
  <c r="N5" s="1"/>
  <c r="F6"/>
  <c r="N7" s="1"/>
  <c r="P7" s="1"/>
  <c r="D5" i="2" l="1"/>
  <c r="E28" i="3"/>
  <c r="E29" s="1"/>
  <c r="P5" i="1"/>
  <c r="Q5"/>
  <c r="Q7"/>
  <c r="F28" i="3" l="1"/>
  <c r="F29" s="1"/>
  <c r="E5" i="2"/>
  <c r="N17" i="4"/>
  <c r="P17" s="1"/>
  <c r="N18"/>
  <c r="P18" s="1"/>
  <c r="N19"/>
  <c r="P19" s="1"/>
  <c r="N20"/>
  <c r="P20" s="1"/>
  <c r="N41"/>
  <c r="P41" s="1"/>
  <c r="N43"/>
  <c r="P43" s="1"/>
  <c r="N16"/>
  <c r="P16" s="1"/>
  <c r="N11"/>
  <c r="P11" s="1"/>
  <c r="N12"/>
  <c r="P12" s="1"/>
  <c r="N13"/>
  <c r="P13" s="1"/>
  <c r="N14"/>
  <c r="P14" s="1"/>
  <c r="N10"/>
  <c r="P10" s="1"/>
  <c r="G28" i="3" l="1"/>
  <c r="G29" s="1"/>
  <c r="G5" i="2" s="1"/>
  <c r="F5"/>
  <c r="N16" i="3"/>
  <c r="N17"/>
  <c r="N18"/>
  <c r="N19"/>
  <c r="B25"/>
  <c r="N10"/>
  <c r="N11"/>
  <c r="N12"/>
  <c r="N13"/>
  <c r="N14"/>
  <c r="B19"/>
  <c r="B14"/>
  <c r="B27" s="1"/>
  <c r="B29" s="1"/>
  <c r="Q19" l="1"/>
  <c r="P19"/>
  <c r="Q17"/>
  <c r="P17"/>
  <c r="Q18"/>
  <c r="P18"/>
  <c r="Q16"/>
  <c r="P16"/>
  <c r="P10"/>
  <c r="Q10"/>
  <c r="F15" i="1"/>
  <c r="D15"/>
  <c r="N11" s="1"/>
  <c r="E6"/>
  <c r="C6"/>
  <c r="F17" l="1"/>
  <c r="F18" s="1"/>
  <c r="N13"/>
  <c r="C15"/>
  <c r="N4"/>
  <c r="N40" i="4"/>
  <c r="P40" s="1"/>
  <c r="E15" i="1"/>
  <c r="N6"/>
  <c r="N42" i="4"/>
  <c r="P42" s="1"/>
  <c r="Q11" i="1"/>
  <c r="P11"/>
  <c r="D17"/>
  <c r="D18" s="1"/>
  <c r="N35" i="4"/>
  <c r="P35" s="1"/>
  <c r="G6" i="1"/>
  <c r="G15" l="1"/>
  <c r="N8"/>
  <c r="N44" i="4"/>
  <c r="P44" s="1"/>
  <c r="E17" i="1"/>
  <c r="E18" s="1"/>
  <c r="N12"/>
  <c r="N36" i="4"/>
  <c r="P36" s="1"/>
  <c r="C17" i="1"/>
  <c r="N10"/>
  <c r="N34" i="4"/>
  <c r="P34" s="1"/>
  <c r="Q4" i="1"/>
  <c r="P4"/>
  <c r="Q13"/>
  <c r="P13"/>
  <c r="P6"/>
  <c r="Q6"/>
  <c r="D19"/>
  <c r="N17" s="1"/>
  <c r="D18" i="2"/>
  <c r="D20" s="1"/>
  <c r="N11" s="1"/>
  <c r="F19" i="1"/>
  <c r="N19" s="1"/>
  <c r="F18" i="2"/>
  <c r="F20" s="1"/>
  <c r="N13" s="1"/>
  <c r="C18" i="1" l="1"/>
  <c r="C19" s="1"/>
  <c r="Q19"/>
  <c r="P19"/>
  <c r="P12"/>
  <c r="Q12"/>
  <c r="E19"/>
  <c r="E18" i="2"/>
  <c r="E20" s="1"/>
  <c r="N12" s="1"/>
  <c r="Q13"/>
  <c r="P13"/>
  <c r="Q11"/>
  <c r="P11"/>
  <c r="Q10" i="1"/>
  <c r="P10"/>
  <c r="P8"/>
  <c r="Q8"/>
  <c r="P17"/>
  <c r="Q17"/>
  <c r="C18" i="2"/>
  <c r="C20" s="1"/>
  <c r="G17" i="1"/>
  <c r="G18" s="1"/>
  <c r="N14"/>
  <c r="N47" i="4"/>
  <c r="P47" s="1"/>
  <c r="N49"/>
  <c r="P49" s="1"/>
  <c r="N7" i="3" l="1"/>
  <c r="P14" i="1"/>
  <c r="Q14"/>
  <c r="N5" i="3"/>
  <c r="N18" i="1"/>
  <c r="N48" i="4"/>
  <c r="P48" s="1"/>
  <c r="N10" i="2"/>
  <c r="N16" i="1"/>
  <c r="N46" i="4"/>
  <c r="P46" s="1"/>
  <c r="G18" i="2"/>
  <c r="G20" s="1"/>
  <c r="N14" s="1"/>
  <c r="P12"/>
  <c r="Q12"/>
  <c r="Q7" i="3" l="1"/>
  <c r="P7"/>
  <c r="N6"/>
  <c r="C25" i="2"/>
  <c r="C13" i="4" s="1"/>
  <c r="P10" i="2"/>
  <c r="Q10"/>
  <c r="Q18" i="1"/>
  <c r="P18"/>
  <c r="N4" i="3"/>
  <c r="Q14" i="2"/>
  <c r="P14"/>
  <c r="P16" i="1"/>
  <c r="Q16"/>
  <c r="N20"/>
  <c r="N50" i="4"/>
  <c r="P50" s="1"/>
  <c r="Q5" i="3"/>
  <c r="P5"/>
  <c r="P20" i="1" l="1"/>
  <c r="Q20"/>
  <c r="Q21" s="1"/>
  <c r="Q4" i="3"/>
  <c r="P4"/>
  <c r="N52" i="4"/>
  <c r="P52" s="1"/>
  <c r="C26" i="2"/>
  <c r="N16" s="1"/>
  <c r="N8" i="3"/>
  <c r="Q6"/>
  <c r="P6"/>
  <c r="N22"/>
  <c r="C8" i="2"/>
  <c r="D25"/>
  <c r="D13" i="4" s="1"/>
  <c r="C11" i="2" l="1"/>
  <c r="C5" i="4"/>
  <c r="N4" s="1"/>
  <c r="P4" s="1"/>
  <c r="Q16" i="2"/>
  <c r="P16"/>
  <c r="E25"/>
  <c r="E13" i="4" s="1"/>
  <c r="N53"/>
  <c r="P53" s="1"/>
  <c r="D26" i="2"/>
  <c r="N17" s="1"/>
  <c r="P8" i="3"/>
  <c r="Q8"/>
  <c r="P22"/>
  <c r="Q22"/>
  <c r="N23"/>
  <c r="D8" i="2"/>
  <c r="D5" i="4" s="1"/>
  <c r="C9" l="1"/>
  <c r="N28" s="1"/>
  <c r="P28" s="1"/>
  <c r="C8"/>
  <c r="N22" s="1"/>
  <c r="P22" s="1"/>
  <c r="E26" i="2"/>
  <c r="N18" s="1"/>
  <c r="N54" i="4"/>
  <c r="P54" s="1"/>
  <c r="N24" i="3"/>
  <c r="E8" i="2"/>
  <c r="E5" i="4" s="1"/>
  <c r="D11" i="2"/>
  <c r="N5" i="4"/>
  <c r="P5" s="1"/>
  <c r="Q17" i="2"/>
  <c r="P17"/>
  <c r="P23" i="3"/>
  <c r="Q23"/>
  <c r="N4" i="2"/>
  <c r="D9" i="4" l="1"/>
  <c r="D8"/>
  <c r="N23" s="1"/>
  <c r="P23" s="1"/>
  <c r="E11" i="2"/>
  <c r="N6" i="4"/>
  <c r="P6" s="1"/>
  <c r="Q24" i="3"/>
  <c r="P24"/>
  <c r="N55" i="4"/>
  <c r="P55" s="1"/>
  <c r="F26" i="2"/>
  <c r="N19" s="1"/>
  <c r="N56" i="4"/>
  <c r="P56" s="1"/>
  <c r="G26" i="2"/>
  <c r="N20" s="1"/>
  <c r="Q18"/>
  <c r="P18"/>
  <c r="Q4"/>
  <c r="P4"/>
  <c r="N25" i="3"/>
  <c r="F8" i="2"/>
  <c r="F5" i="4" s="1"/>
  <c r="N5" i="2"/>
  <c r="N29" i="4"/>
  <c r="P29" s="1"/>
  <c r="E9" l="1"/>
  <c r="E8"/>
  <c r="N24" s="1"/>
  <c r="P24" s="1"/>
  <c r="Q20" i="2"/>
  <c r="P20"/>
  <c r="Q25" i="3"/>
  <c r="P25"/>
  <c r="N6" i="2"/>
  <c r="N30" i="4"/>
  <c r="P30" s="1"/>
  <c r="P5" i="2"/>
  <c r="Q5"/>
  <c r="Q19"/>
  <c r="P19"/>
  <c r="F11"/>
  <c r="N7" i="4"/>
  <c r="P7" s="1"/>
  <c r="G8" i="2"/>
  <c r="G5" i="4" s="1"/>
  <c r="N26" i="3"/>
  <c r="F8" i="4" l="1"/>
  <c r="N25" s="1"/>
  <c r="P25" s="1"/>
  <c r="F9"/>
  <c r="N31" s="1"/>
  <c r="P31" s="1"/>
  <c r="Q6" i="2"/>
  <c r="P6"/>
  <c r="P26" i="3"/>
  <c r="Q26"/>
  <c r="Q27" s="1"/>
  <c r="N7" i="2"/>
  <c r="G11"/>
  <c r="N8" i="4"/>
  <c r="P8" s="1"/>
  <c r="G9" l="1"/>
  <c r="N32" s="1"/>
  <c r="P32" s="1"/>
  <c r="G8"/>
  <c r="Q7" i="2"/>
  <c r="P7"/>
  <c r="N8"/>
  <c r="N26" i="4"/>
  <c r="P26" s="1"/>
  <c r="P57" l="1"/>
  <c r="P8" i="2"/>
  <c r="Q8"/>
  <c r="Q21" s="1"/>
</calcChain>
</file>

<file path=xl/sharedStrings.xml><?xml version="1.0" encoding="utf-8"?>
<sst xmlns="http://schemas.openxmlformats.org/spreadsheetml/2006/main" count="233" uniqueCount="191">
  <si>
    <t>FORECASTED INCOME STATEMENT</t>
  </si>
  <si>
    <t>YEAR 1</t>
  </si>
  <si>
    <t>YEAR 2</t>
  </si>
  <si>
    <t>YEAR 3</t>
  </si>
  <si>
    <t>YEAR 4</t>
  </si>
  <si>
    <t>YEAR 5</t>
  </si>
  <si>
    <t>Revenue</t>
  </si>
  <si>
    <t>Cost of Sales</t>
  </si>
  <si>
    <t>Gross Margin</t>
  </si>
  <si>
    <t>Assumption Explanations</t>
  </si>
  <si>
    <t>Advertising</t>
  </si>
  <si>
    <t>Utilities</t>
  </si>
  <si>
    <t>Depreciation</t>
  </si>
  <si>
    <t>Equipment Rental</t>
  </si>
  <si>
    <t>Wages</t>
  </si>
  <si>
    <t xml:space="preserve"> Assumptions</t>
  </si>
  <si>
    <t>Operating Expenses</t>
  </si>
  <si>
    <t>Interest Expense</t>
  </si>
  <si>
    <t>Operating Income</t>
  </si>
  <si>
    <t>Income before taxes</t>
  </si>
  <si>
    <t>Income taxes</t>
  </si>
  <si>
    <t>Net Income</t>
  </si>
  <si>
    <t>FORECASTED BALANCE SHEET</t>
  </si>
  <si>
    <t>Assets</t>
  </si>
  <si>
    <t>Cash</t>
  </si>
  <si>
    <t>Accounts Receivable</t>
  </si>
  <si>
    <t>Prepaid Expenses</t>
  </si>
  <si>
    <t>Current Assets</t>
  </si>
  <si>
    <t>Total Assets</t>
  </si>
  <si>
    <t>Liabilities</t>
  </si>
  <si>
    <t>Accounts Payable</t>
  </si>
  <si>
    <t>Customer deposits</t>
  </si>
  <si>
    <t>Accounts payable</t>
  </si>
  <si>
    <t>Taxes payable</t>
  </si>
  <si>
    <t>Current Liabilities</t>
  </si>
  <si>
    <t>Bank loan</t>
  </si>
  <si>
    <t>Total Liabilities</t>
  </si>
  <si>
    <t>Stockholder's Equity</t>
  </si>
  <si>
    <t>Capital</t>
  </si>
  <si>
    <t>Retained Earnings</t>
  </si>
  <si>
    <t>Total Stockholder's Equity</t>
  </si>
  <si>
    <t>Total Liabilities &amp; Stockholder's Equity</t>
  </si>
  <si>
    <t>CASHFLOW STATEMENT</t>
  </si>
  <si>
    <t>Add back depreciation</t>
  </si>
  <si>
    <t>Changes in working capital</t>
  </si>
  <si>
    <t>Customer Deposits</t>
  </si>
  <si>
    <t>Cash flows from operating activities</t>
  </si>
  <si>
    <t>Amount paid for equipment</t>
  </si>
  <si>
    <t>Cash flow from investing activities</t>
  </si>
  <si>
    <t>Proceeds from bank loan</t>
  </si>
  <si>
    <t>Proceeds from issuing capital</t>
  </si>
  <si>
    <t>Repayment of bank loan</t>
  </si>
  <si>
    <t>Taxes Payable</t>
  </si>
  <si>
    <t>Cash flow from financing activities</t>
  </si>
  <si>
    <t>Add: Beginning cash balance</t>
  </si>
  <si>
    <t>Ending Cash balance</t>
  </si>
  <si>
    <t>Net increase (decrease) in cash</t>
  </si>
  <si>
    <t>RATIOS</t>
  </si>
  <si>
    <t>CURRENT RATIO</t>
  </si>
  <si>
    <t>Formulas</t>
  </si>
  <si>
    <t>Show Work</t>
  </si>
  <si>
    <t>AVERAGE COLLECTION PERIOD</t>
  </si>
  <si>
    <t>PAYABLES TURNOVER</t>
  </si>
  <si>
    <t>TOTAL ASSET TURNOVER</t>
  </si>
  <si>
    <t>DEBT RATIO</t>
  </si>
  <si>
    <t>TIMES INTEREST EARNED</t>
  </si>
  <si>
    <t>GROSS PROFIT MARGIN</t>
  </si>
  <si>
    <t>NET PROFIT MARGIN</t>
  </si>
  <si>
    <t>RETURN ON EQUITY</t>
  </si>
  <si>
    <t>Interest payable</t>
  </si>
  <si>
    <t>Amount paid for furniture &amp; fixtures</t>
  </si>
  <si>
    <t>Insurance Expense</t>
  </si>
  <si>
    <t>Office Rent</t>
  </si>
  <si>
    <t>Prepaid Insurance</t>
  </si>
  <si>
    <t>Cell Ref.</t>
  </si>
  <si>
    <t>Correct/Incorrect</t>
  </si>
  <si>
    <t>Points Awarded</t>
  </si>
  <si>
    <t>GM - Yr 1</t>
  </si>
  <si>
    <t>GM - Yr 2</t>
  </si>
  <si>
    <t>GM - Yr 3</t>
  </si>
  <si>
    <t>GM - Yr 4</t>
  </si>
  <si>
    <t>GM - Yr 5</t>
  </si>
  <si>
    <t>Operating Income - Yr 1</t>
  </si>
  <si>
    <t>Operating Income - Yr 2</t>
  </si>
  <si>
    <t>Operating Income - Yr 3</t>
  </si>
  <si>
    <t>Operating Income - Yr 4</t>
  </si>
  <si>
    <t>Operating Income - Yr 5</t>
  </si>
  <si>
    <t>Net Income - Yr 1</t>
  </si>
  <si>
    <t>Net Income - Yr 2</t>
  </si>
  <si>
    <t>Net Income - Yr 3</t>
  </si>
  <si>
    <t>Net Income - Yr 4</t>
  </si>
  <si>
    <t>Net Income - Yr 5</t>
  </si>
  <si>
    <t>GRADING</t>
  </si>
  <si>
    <t>Round</t>
  </si>
  <si>
    <t>Correct #s</t>
  </si>
  <si>
    <t>Assets - Yr 1</t>
  </si>
  <si>
    <t>Assets - Yr 2</t>
  </si>
  <si>
    <t>Assets - Yr 3</t>
  </si>
  <si>
    <t>Assets - Yr 4</t>
  </si>
  <si>
    <t>Assets - Yr 5</t>
  </si>
  <si>
    <t>Liabilities - Yr 1</t>
  </si>
  <si>
    <t>Liabilities - Yr 2</t>
  </si>
  <si>
    <t>Liabilities - Yr 3</t>
  </si>
  <si>
    <t>Liabilities - Yr 4</t>
  </si>
  <si>
    <t>Liabilities - Yr 5</t>
  </si>
  <si>
    <t>TOTAL</t>
  </si>
  <si>
    <t>S/E  &amp; Liab.- Yr 1</t>
  </si>
  <si>
    <t>S/E  &amp; Liab.- Yr 2</t>
  </si>
  <si>
    <t>S/E  &amp; Liab.- Yr 3</t>
  </si>
  <si>
    <t>S/E  &amp; Liab.- Yr 4</t>
  </si>
  <si>
    <t>S/E  &amp; Liab.- Yr 5</t>
  </si>
  <si>
    <t>Operating - Yr 1</t>
  </si>
  <si>
    <t>Operating - Yr 2</t>
  </si>
  <si>
    <t>Operating - Yr 3</t>
  </si>
  <si>
    <t>Operating - Yr 4</t>
  </si>
  <si>
    <t>Operating - Yr 5</t>
  </si>
  <si>
    <t>Investing - Yr 1</t>
  </si>
  <si>
    <t>Investing - Yr 2</t>
  </si>
  <si>
    <t>Investing - Yr 3</t>
  </si>
  <si>
    <t>Investing - Yr 4</t>
  </si>
  <si>
    <t>Investing - Yr 5</t>
  </si>
  <si>
    <t>Financing- Yr 1</t>
  </si>
  <si>
    <t>Financing- Yr 2</t>
  </si>
  <si>
    <t>Financing- Yr 3</t>
  </si>
  <si>
    <t>Financing- Yr 4</t>
  </si>
  <si>
    <t>Financing- Yr 5</t>
  </si>
  <si>
    <t>Ending Cash Bal. - Yr 1</t>
  </si>
  <si>
    <t>Ending Cash Bal. - Yr 2</t>
  </si>
  <si>
    <t>Ending Cash Bal. - Yr 3</t>
  </si>
  <si>
    <t>Ending Cash Bal. - Yr 4</t>
  </si>
  <si>
    <t>Ending Cash Bal. - Yr 5</t>
  </si>
  <si>
    <t>*ROUND TO TWO DECIMAL PLACES</t>
  </si>
  <si>
    <t>CR - Yr 1</t>
  </si>
  <si>
    <t>CR - Yr 2</t>
  </si>
  <si>
    <t>CR - Yr 3</t>
  </si>
  <si>
    <t>CR - Yr 4</t>
  </si>
  <si>
    <t>CR - Yr 5</t>
  </si>
  <si>
    <t>AVG COLLECTION - Yr 1</t>
  </si>
  <si>
    <t>AVG COLLECTION - Yr 2</t>
  </si>
  <si>
    <t>AVG COLLECTION - Yr 3</t>
  </si>
  <si>
    <t>AVG COLLECTION - Yr 4</t>
  </si>
  <si>
    <t>AVG COLLECTION - Yr 5</t>
  </si>
  <si>
    <t>PAYABLES - Yr 1</t>
  </si>
  <si>
    <t>PAYABLES - Yr 2</t>
  </si>
  <si>
    <t>PAYABLES - Yr 3</t>
  </si>
  <si>
    <t>PAYABLES - Yr 4</t>
  </si>
  <si>
    <t>PAYABLES - Yr 5</t>
  </si>
  <si>
    <t>TOT. ASSET  - Yr 1</t>
  </si>
  <si>
    <t>TOT. ASSET  - Yr 2</t>
  </si>
  <si>
    <t>TOT. ASSET  - Yr 3</t>
  </si>
  <si>
    <t>TOT. ASSET  - Yr 4</t>
  </si>
  <si>
    <t>TOT. ASSET  - Yr 5</t>
  </si>
  <si>
    <t>DEBT RATIO  - Yr 1</t>
  </si>
  <si>
    <t>DEBT RATIO  - Yr 2</t>
  </si>
  <si>
    <t>DEBT RATIO  - Yr 3</t>
  </si>
  <si>
    <t>DEBT RATIO  - Yr 4</t>
  </si>
  <si>
    <t>DEBT RATIO  - Yr 5</t>
  </si>
  <si>
    <t>TIE  - Yr 1</t>
  </si>
  <si>
    <t>TIE  - Yr 2</t>
  </si>
  <si>
    <t>TIE  - Yr 3</t>
  </si>
  <si>
    <t>TIE  - Yr 4</t>
  </si>
  <si>
    <t>TIE  - Yr 5</t>
  </si>
  <si>
    <t>GPM - Yr 1</t>
  </si>
  <si>
    <t>GPM - Yr 2</t>
  </si>
  <si>
    <t>GPM - Yr 3</t>
  </si>
  <si>
    <t>GPM - Yr 4</t>
  </si>
  <si>
    <t>GPM - Yr 5</t>
  </si>
  <si>
    <t>NPM - Yr 1</t>
  </si>
  <si>
    <t>NPM - Yr 2</t>
  </si>
  <si>
    <t>NPM - Yr 3</t>
  </si>
  <si>
    <t>NPM - Yr 4</t>
  </si>
  <si>
    <t>NPM - Yr 5</t>
  </si>
  <si>
    <t>ROE - Yr 1</t>
  </si>
  <si>
    <t>ROE - Yr 2</t>
  </si>
  <si>
    <t>ROE - Yr 3</t>
  </si>
  <si>
    <t>ROE - Yr 4</t>
  </si>
  <si>
    <t>ROE - Yr 5</t>
  </si>
  <si>
    <r>
      <t xml:space="preserve">Furniture &amp; Fixtures </t>
    </r>
    <r>
      <rPr>
        <b/>
        <sz val="11"/>
        <color theme="1"/>
        <rFont val="Calibri"/>
        <family val="2"/>
        <scheme val="minor"/>
      </rPr>
      <t>(net)</t>
    </r>
  </si>
  <si>
    <r>
      <t xml:space="preserve">Equipment </t>
    </r>
    <r>
      <rPr>
        <b/>
        <sz val="11"/>
        <color theme="1"/>
        <rFont val="Calibri"/>
        <family val="2"/>
        <scheme val="minor"/>
      </rPr>
      <t>(net)</t>
    </r>
  </si>
  <si>
    <t>Current ratio = Current assets ÷ Current liabilities</t>
  </si>
  <si>
    <t>Average Collection Period = Average Accounts Receivable / (Net Credit Sales / Number Of Days)</t>
  </si>
  <si>
    <t>Net Sales/averrage Accounts recivable</t>
  </si>
  <si>
    <t>Revenue / Average Total Assets</t>
  </si>
  <si>
    <t>Total debt ÷ Total assets</t>
  </si>
  <si>
    <t>Inerest earned ratio=Inc. from Operations/Interest expense</t>
  </si>
  <si>
    <t>Gross Margin = Gross Profit / Revenue * 100</t>
  </si>
  <si>
    <t>Net Profit Margin = Net Profit / Total Revenue</t>
  </si>
  <si>
    <t>Net income/Shareholder equity</t>
  </si>
  <si>
    <t>Hold Down "Ctrl" and push "Tilde" key to see work</t>
  </si>
  <si>
    <t>Starts depriciation $1000 a year starting year 1 For 15 years</t>
  </si>
  <si>
    <t>Depriciates $2000 every year starting year1</t>
  </si>
</sst>
</file>

<file path=xl/styles.xml><?xml version="1.0" encoding="utf-8"?>
<styleSheet xmlns="http://schemas.openxmlformats.org/spreadsheetml/2006/main">
  <numFmts count="1">
    <numFmt numFmtId="164" formatCode="_(* #,##0_);_(* \(#,##0\);_(* &quot;-&quot;_);_(@_)"/>
  </numFmts>
  <fonts count="9">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16"/>
      <color theme="0"/>
      <name val="Calibri"/>
      <family val="2"/>
      <scheme val="minor"/>
    </font>
    <font>
      <sz val="16"/>
      <color theme="1"/>
      <name val="Calibri"/>
      <family val="2"/>
      <scheme val="minor"/>
    </font>
    <font>
      <b/>
      <sz val="12"/>
      <color theme="1"/>
      <name val="Arial"/>
      <family val="2"/>
    </font>
  </fonts>
  <fills count="16">
    <fill>
      <patternFill patternType="none"/>
    </fill>
    <fill>
      <patternFill patternType="gray125"/>
    </fill>
    <fill>
      <patternFill patternType="solid">
        <fgColor theme="4" tint="0.39997558519241921"/>
        <bgColor indexed="65"/>
      </patternFill>
    </fill>
    <fill>
      <patternFill patternType="solid">
        <fgColor theme="9"/>
      </patternFill>
    </fill>
    <fill>
      <patternFill patternType="solid">
        <fgColor theme="9" tint="0.39997558519241921"/>
        <bgColor indexed="65"/>
      </patternFill>
    </fill>
    <fill>
      <patternFill patternType="solid">
        <fgColor theme="4"/>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5" tint="0.79998168889431442"/>
        <bgColor indexed="64"/>
      </patternFill>
    </fill>
    <fill>
      <patternFill patternType="solid">
        <fgColor theme="2"/>
        <bgColor indexed="64"/>
      </patternFill>
    </fill>
    <fill>
      <patternFill patternType="solid">
        <fgColor rgb="FF00B050"/>
        <bgColor indexed="64"/>
      </patternFill>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s>
  <cellStyleXfs count="13">
    <xf numFmtId="0" fontId="0" fillId="0" borderId="0"/>
    <xf numFmtId="0" fontId="2" fillId="6" borderId="0" applyNumberFormat="0" applyAlignment="0" applyProtection="0"/>
    <xf numFmtId="0" fontId="1" fillId="2" borderId="0" applyNumberFormat="0" applyBorder="0" applyAlignment="0" applyProtection="0"/>
    <xf numFmtId="0" fontId="4" fillId="3" borderId="0" applyNumberFormat="0" applyBorder="0" applyAlignment="0" applyProtection="0"/>
    <xf numFmtId="0" fontId="1" fillId="4" borderId="0" applyNumberFormat="0" applyBorder="0" applyAlignment="0" applyProtection="0"/>
    <xf numFmtId="0" fontId="2" fillId="7" borderId="0" applyAlignment="0" applyProtection="0"/>
    <xf numFmtId="0" fontId="4" fillId="8" borderId="0" applyNumberFormat="0" applyBorder="0" applyAlignment="0" applyProtection="0"/>
    <xf numFmtId="0" fontId="1" fillId="9" borderId="0" applyNumberFormat="0" applyBorder="0" applyAlignment="0" applyProtection="0"/>
    <xf numFmtId="9" fontId="1" fillId="0" borderId="0" applyFont="0" applyFill="0" applyBorder="0" applyAlignment="0" applyProtection="0"/>
    <xf numFmtId="0" fontId="4" fillId="10" borderId="0" applyNumberFormat="0" applyBorder="0" applyAlignment="0" applyProtection="0"/>
    <xf numFmtId="0" fontId="1" fillId="11" borderId="0" applyNumberFormat="0" applyBorder="0" applyAlignment="0" applyProtection="0"/>
    <xf numFmtId="0" fontId="2" fillId="12" borderId="0" applyAlignment="0" applyProtection="0"/>
    <xf numFmtId="0" fontId="2" fillId="13" borderId="0" applyAlignment="0" applyProtection="0"/>
  </cellStyleXfs>
  <cellXfs count="49">
    <xf numFmtId="0" fontId="0" fillId="0" borderId="0" xfId="0"/>
    <xf numFmtId="0" fontId="1" fillId="2" borderId="0" xfId="2" applyAlignment="1" applyProtection="1">
      <alignment horizontal="center"/>
      <protection locked="0"/>
    </xf>
    <xf numFmtId="0" fontId="0" fillId="0" borderId="0" xfId="0" applyProtection="1">
      <protection locked="0"/>
    </xf>
    <xf numFmtId="0" fontId="0" fillId="0" borderId="0" xfId="0" applyAlignment="1" applyProtection="1">
      <alignment horizontal="center"/>
      <protection locked="0"/>
    </xf>
    <xf numFmtId="0" fontId="3" fillId="0" borderId="0" xfId="0" applyFont="1" applyAlignment="1" applyProtection="1">
      <alignment horizontal="center"/>
      <protection locked="0"/>
    </xf>
    <xf numFmtId="164" fontId="2" fillId="6" borderId="0" xfId="1" applyNumberFormat="1" applyAlignment="1" applyProtection="1">
      <alignment horizontal="center" vertical="center"/>
      <protection locked="0"/>
    </xf>
    <xf numFmtId="164" fontId="2" fillId="6" borderId="1" xfId="1" applyNumberFormat="1" applyBorder="1" applyAlignment="1" applyProtection="1">
      <alignment horizontal="center" vertical="center"/>
      <protection locked="0"/>
    </xf>
    <xf numFmtId="0" fontId="3" fillId="0" borderId="0" xfId="0" applyFont="1" applyProtection="1">
      <protection locked="0"/>
    </xf>
    <xf numFmtId="164" fontId="3" fillId="0" borderId="0" xfId="0" applyNumberFormat="1" applyFont="1"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3" fillId="0" borderId="2" xfId="0" applyNumberFormat="1" applyFont="1" applyBorder="1" applyAlignment="1" applyProtection="1">
      <alignment horizontal="center" vertical="center"/>
      <protection locked="0"/>
    </xf>
    <xf numFmtId="164" fontId="0" fillId="0" borderId="0" xfId="0" applyNumberFormat="1" applyProtection="1">
      <protection locked="0"/>
    </xf>
    <xf numFmtId="0" fontId="0" fillId="0" borderId="0" xfId="0" applyProtection="1"/>
    <xf numFmtId="0" fontId="8" fillId="0" borderId="0" xfId="0" applyFont="1" applyProtection="1"/>
    <xf numFmtId="0" fontId="8" fillId="0" borderId="0" xfId="0" applyFont="1" applyAlignment="1" applyProtection="1">
      <alignment horizontal="center"/>
    </xf>
    <xf numFmtId="1" fontId="0" fillId="0" borderId="0" xfId="0" applyNumberFormat="1" applyProtection="1"/>
    <xf numFmtId="0" fontId="0" fillId="0" borderId="0" xfId="0" applyAlignment="1" applyProtection="1">
      <alignment horizontal="center"/>
    </xf>
    <xf numFmtId="3" fontId="0" fillId="0" borderId="0" xfId="0" applyNumberFormat="1" applyProtection="1"/>
    <xf numFmtId="0" fontId="0" fillId="0" borderId="5" xfId="0" applyBorder="1" applyProtection="1"/>
    <xf numFmtId="1" fontId="0" fillId="0" borderId="5" xfId="0" applyNumberFormat="1" applyBorder="1" applyProtection="1"/>
    <xf numFmtId="0" fontId="0" fillId="0" borderId="5" xfId="0" applyBorder="1" applyAlignment="1" applyProtection="1">
      <alignment horizontal="center"/>
    </xf>
    <xf numFmtId="0" fontId="0" fillId="0" borderId="0" xfId="0" applyFill="1" applyBorder="1" applyAlignment="1" applyProtection="1">
      <alignment horizontal="center"/>
    </xf>
    <xf numFmtId="0" fontId="1" fillId="4" borderId="0" xfId="4" applyAlignment="1" applyProtection="1">
      <alignment horizontal="center"/>
      <protection locked="0"/>
    </xf>
    <xf numFmtId="0" fontId="1" fillId="4" borderId="0" xfId="4" applyProtection="1">
      <protection locked="0"/>
    </xf>
    <xf numFmtId="164" fontId="2" fillId="7" borderId="0" xfId="5" applyNumberFormat="1" applyProtection="1">
      <protection locked="0"/>
    </xf>
    <xf numFmtId="0" fontId="0" fillId="0" borderId="0" xfId="0" applyFont="1" applyProtection="1">
      <protection locked="0"/>
    </xf>
    <xf numFmtId="164" fontId="2" fillId="7" borderId="1" xfId="5" applyNumberFormat="1" applyBorder="1" applyProtection="1">
      <protection locked="0"/>
    </xf>
    <xf numFmtId="164" fontId="3" fillId="0" borderId="0" xfId="0" applyNumberFormat="1" applyFont="1" applyProtection="1">
      <protection locked="0"/>
    </xf>
    <xf numFmtId="164" fontId="3" fillId="0" borderId="2" xfId="0" applyNumberFormat="1" applyFont="1" applyBorder="1" applyProtection="1">
      <protection locked="0"/>
    </xf>
    <xf numFmtId="164" fontId="2" fillId="7" borderId="0" xfId="5" applyNumberFormat="1" applyBorder="1" applyProtection="1">
      <protection locked="0"/>
    </xf>
    <xf numFmtId="0" fontId="2" fillId="7" borderId="0" xfId="5" applyProtection="1">
      <protection locked="0"/>
    </xf>
    <xf numFmtId="0" fontId="1" fillId="9" borderId="0" xfId="7" applyAlignment="1" applyProtection="1">
      <alignment horizontal="center"/>
      <protection locked="0"/>
    </xf>
    <xf numFmtId="0" fontId="1" fillId="9" borderId="0" xfId="7" applyProtection="1">
      <protection locked="0"/>
    </xf>
    <xf numFmtId="164" fontId="2" fillId="12" borderId="0" xfId="11" applyNumberFormat="1" applyProtection="1">
      <protection locked="0"/>
    </xf>
    <xf numFmtId="164" fontId="0" fillId="0" borderId="3" xfId="0" applyNumberFormat="1" applyBorder="1" applyProtection="1">
      <protection locked="0"/>
    </xf>
    <xf numFmtId="164" fontId="3" fillId="0" borderId="3" xfId="0" applyNumberFormat="1" applyFont="1" applyBorder="1" applyProtection="1">
      <protection locked="0"/>
    </xf>
    <xf numFmtId="164" fontId="0" fillId="0" borderId="4" xfId="0" applyNumberFormat="1" applyBorder="1" applyProtection="1">
      <protection locked="0"/>
    </xf>
    <xf numFmtId="164" fontId="3" fillId="0" borderId="4" xfId="0" applyNumberFormat="1" applyFont="1" applyBorder="1" applyProtection="1">
      <protection locked="0"/>
    </xf>
    <xf numFmtId="0" fontId="1" fillId="11" borderId="0" xfId="10" applyProtection="1">
      <protection locked="0"/>
    </xf>
    <xf numFmtId="0" fontId="0" fillId="15" borderId="0" xfId="0" applyFill="1" applyProtection="1">
      <protection locked="0"/>
    </xf>
    <xf numFmtId="2" fontId="2" fillId="13" borderId="0" xfId="8" applyNumberFormat="1" applyFont="1" applyFill="1" applyAlignment="1" applyProtection="1">
      <alignment horizontal="center"/>
      <protection locked="0"/>
    </xf>
    <xf numFmtId="2" fontId="0" fillId="0" borderId="0" xfId="0" applyNumberFormat="1" applyProtection="1"/>
    <xf numFmtId="2" fontId="0" fillId="0" borderId="5" xfId="0" applyNumberFormat="1" applyBorder="1" applyProtection="1"/>
    <xf numFmtId="0" fontId="0" fillId="11" borderId="0" xfId="10" applyFont="1" applyAlignment="1" applyProtection="1">
      <alignment horizontal="center"/>
      <protection locked="0"/>
    </xf>
    <xf numFmtId="0" fontId="5" fillId="5" borderId="0" xfId="0" applyFont="1" applyFill="1" applyAlignment="1" applyProtection="1">
      <alignment horizontal="center"/>
      <protection locked="0"/>
    </xf>
    <xf numFmtId="0" fontId="7" fillId="14" borderId="0" xfId="0" applyFont="1" applyFill="1" applyAlignment="1" applyProtection="1">
      <alignment horizontal="center"/>
    </xf>
    <xf numFmtId="0" fontId="6" fillId="3" borderId="0" xfId="3" applyFont="1" applyAlignment="1" applyProtection="1">
      <alignment horizontal="center"/>
      <protection locked="0"/>
    </xf>
    <xf numFmtId="0" fontId="6" fillId="8" borderId="0" xfId="6" applyFont="1" applyAlignment="1" applyProtection="1">
      <alignment horizontal="center"/>
      <protection locked="0"/>
    </xf>
    <xf numFmtId="0" fontId="5" fillId="10" borderId="0" xfId="9" applyFont="1" applyAlignment="1" applyProtection="1">
      <alignment horizontal="center"/>
      <protection locked="0"/>
    </xf>
  </cellXfs>
  <cellStyles count="13">
    <cellStyle name="60% - Accent1" xfId="2" builtinId="32"/>
    <cellStyle name="60% - Accent2" xfId="7" builtinId="36"/>
    <cellStyle name="60% - Accent3" xfId="10" builtinId="40"/>
    <cellStyle name="60% - Accent6" xfId="4" builtinId="52"/>
    <cellStyle name="Accent2" xfId="6" builtinId="33"/>
    <cellStyle name="Accent3" xfId="9" builtinId="37"/>
    <cellStyle name="Accent6" xfId="3" builtinId="49"/>
    <cellStyle name="Input" xfId="1" builtinId="20" customBuiltin="1"/>
    <cellStyle name="Input 2" xfId="5"/>
    <cellStyle name="Input 3" xfId="11"/>
    <cellStyle name="Input 4" xfId="12"/>
    <cellStyle name="Normal" xfId="0" builtinId="0"/>
    <cellStyle name="Percent" xfId="8" builtinId="5"/>
  </cellStyles>
  <dxfs count="6">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9524</xdr:rowOff>
    </xdr:from>
    <xdr:to>
      <xdr:col>7</xdr:col>
      <xdr:colOff>466725</xdr:colOff>
      <xdr:row>33</xdr:row>
      <xdr:rowOff>114299</xdr:rowOff>
    </xdr:to>
    <xdr:sp macro="" textlink="">
      <xdr:nvSpPr>
        <xdr:cNvPr id="2" name="TextBox 1">
          <a:extLst>
            <a:ext uri="{FF2B5EF4-FFF2-40B4-BE49-F238E27FC236}">
              <a16:creationId xmlns:a16="http://schemas.microsoft.com/office/drawing/2014/main" xmlns="" id="{DA42A11C-1BC6-4232-94CE-0A09C2142822}"/>
            </a:ext>
          </a:extLst>
        </xdr:cNvPr>
        <xdr:cNvSpPr txBox="1"/>
      </xdr:nvSpPr>
      <xdr:spPr>
        <a:xfrm>
          <a:off x="0" y="3038474"/>
          <a:ext cx="6238875" cy="3343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Ratios are used to measure the short-term cash flow of a business. A rate tells us whether the business will be able to pay their fees under any unnecessary stress. Cash flow rates meet the duty of comrades. My suggestions for the window are to improve the returns on stock ratios by raising the prices of certain products. She can reduce operating costs or negotiate with suppliers or change her packaging to lower the price of the items sold, which will also help with gross profit margins. Other than that, there is always room for improvement everywhere.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39"/>
  <sheetViews>
    <sheetView topLeftCell="E1" workbookViewId="0">
      <selection activeCell="I21" sqref="I21"/>
    </sheetView>
  </sheetViews>
  <sheetFormatPr defaultRowHeight="15"/>
  <cols>
    <col min="1" max="1" width="31.5703125" style="2" bestFit="1" customWidth="1"/>
    <col min="2" max="2" width="9.140625" style="2"/>
    <col min="3" max="4" width="11.5703125" style="2" bestFit="1" customWidth="1"/>
    <col min="5" max="5" width="14.140625" style="2" bestFit="1" customWidth="1"/>
    <col min="6" max="6" width="13" style="2" bestFit="1" customWidth="1"/>
    <col min="7" max="7" width="11.5703125" style="2" bestFit="1" customWidth="1"/>
    <col min="8" max="8" width="9.140625" style="2"/>
    <col min="9" max="9" width="13.42578125" style="2" customWidth="1"/>
    <col min="10" max="10" width="3.140625" style="2" customWidth="1"/>
    <col min="11" max="11" width="56.5703125" style="2" customWidth="1"/>
    <col min="12" max="12" width="2.28515625" style="2" customWidth="1"/>
    <col min="13" max="13" width="22" style="12" bestFit="1" customWidth="1"/>
    <col min="14" max="15" width="10.85546875" style="12" hidden="1" customWidth="1"/>
    <col min="16" max="16" width="20" style="12" bestFit="1" customWidth="1"/>
    <col min="17" max="17" width="18.85546875" style="12" bestFit="1" customWidth="1"/>
    <col min="18" max="16384" width="9.140625" style="2"/>
  </cols>
  <sheetData>
    <row r="1" spans="1:17" ht="21">
      <c r="A1" s="44" t="s">
        <v>0</v>
      </c>
      <c r="B1" s="44"/>
      <c r="C1" s="44"/>
      <c r="D1" s="44"/>
      <c r="E1" s="44"/>
      <c r="F1" s="44"/>
      <c r="G1" s="44"/>
      <c r="H1" s="44"/>
      <c r="I1" s="1" t="s">
        <v>15</v>
      </c>
      <c r="K1" s="1" t="s">
        <v>9</v>
      </c>
      <c r="M1" s="45" t="s">
        <v>92</v>
      </c>
      <c r="N1" s="45"/>
      <c r="O1" s="45"/>
      <c r="P1" s="45"/>
      <c r="Q1" s="45"/>
    </row>
    <row r="2" spans="1:17" ht="7.5" customHeight="1">
      <c r="A2" s="3"/>
      <c r="B2" s="3"/>
      <c r="C2" s="3"/>
      <c r="D2" s="3"/>
      <c r="E2" s="3"/>
      <c r="F2" s="3"/>
      <c r="G2" s="3"/>
      <c r="H2" s="3"/>
    </row>
    <row r="3" spans="1:17" ht="15.75">
      <c r="C3" s="4" t="s">
        <v>1</v>
      </c>
      <c r="D3" s="4" t="s">
        <v>2</v>
      </c>
      <c r="E3" s="4" t="s">
        <v>3</v>
      </c>
      <c r="F3" s="4" t="s">
        <v>4</v>
      </c>
      <c r="G3" s="4" t="s">
        <v>5</v>
      </c>
      <c r="M3" s="13" t="s">
        <v>74</v>
      </c>
      <c r="N3" s="14" t="s">
        <v>93</v>
      </c>
      <c r="O3" s="13" t="s">
        <v>94</v>
      </c>
      <c r="P3" s="13" t="s">
        <v>75</v>
      </c>
      <c r="Q3" s="13" t="s">
        <v>76</v>
      </c>
    </row>
    <row r="4" spans="1:17">
      <c r="A4" s="2" t="s">
        <v>6</v>
      </c>
      <c r="C4" s="5">
        <v>150000</v>
      </c>
      <c r="D4" s="5">
        <f>(C4*0.03)+C4</f>
        <v>154500</v>
      </c>
      <c r="E4" s="5">
        <f>(D4*0.03)+D4</f>
        <v>159135</v>
      </c>
      <c r="F4" s="5">
        <f>(E4*0.05)+E4</f>
        <v>167091.75</v>
      </c>
      <c r="G4" s="5">
        <f>(F4*0.05)+F4</f>
        <v>175446.33749999999</v>
      </c>
      <c r="I4" s="3"/>
      <c r="M4" s="12" t="s">
        <v>77</v>
      </c>
      <c r="N4" s="15">
        <f>ROUND(C6,0)</f>
        <v>82500</v>
      </c>
      <c r="O4" s="12">
        <v>82500</v>
      </c>
      <c r="P4" s="12" t="str">
        <f>IF(N4=O4, "CORRECT", "INCORRECT")</f>
        <v>CORRECT</v>
      </c>
      <c r="Q4" s="16">
        <f>IF(N4=O4, 1,0)</f>
        <v>1</v>
      </c>
    </row>
    <row r="5" spans="1:17">
      <c r="A5" s="2" t="s">
        <v>7</v>
      </c>
      <c r="C5" s="6">
        <f>C4*0.45</f>
        <v>67500</v>
      </c>
      <c r="D5" s="6">
        <f>(C5*0.03)+C5</f>
        <v>69525</v>
      </c>
      <c r="E5" s="6">
        <f>(D5*0.03)+D5</f>
        <v>71610.75</v>
      </c>
      <c r="F5" s="6">
        <f>(E5*0.05)+E5</f>
        <v>75191.287500000006</v>
      </c>
      <c r="G5" s="6">
        <f>(F5*0.05)+F5</f>
        <v>78950.851875000008</v>
      </c>
      <c r="I5" s="3"/>
      <c r="M5" s="12" t="s">
        <v>78</v>
      </c>
      <c r="N5" s="15">
        <f>ROUND(D6,0)</f>
        <v>84975</v>
      </c>
      <c r="O5" s="12">
        <v>84975</v>
      </c>
      <c r="P5" s="12" t="str">
        <f>IF(N5=O5, "CORRECT", "INCORRECT")</f>
        <v>CORRECT</v>
      </c>
      <c r="Q5" s="16">
        <f t="shared" ref="Q5:Q14" si="0">IF(N5=O5, 1,0)</f>
        <v>1</v>
      </c>
    </row>
    <row r="6" spans="1:17">
      <c r="A6" s="7" t="s">
        <v>8</v>
      </c>
      <c r="C6" s="8">
        <f>C4-C5</f>
        <v>82500</v>
      </c>
      <c r="D6" s="8">
        <f t="shared" ref="D6:G6" si="1">D4-D5</f>
        <v>84975</v>
      </c>
      <c r="E6" s="8">
        <f t="shared" si="1"/>
        <v>87524.25</v>
      </c>
      <c r="F6" s="8">
        <f t="shared" si="1"/>
        <v>91900.462499999994</v>
      </c>
      <c r="G6" s="8">
        <f t="shared" si="1"/>
        <v>96495.485624999987</v>
      </c>
      <c r="I6" s="3"/>
      <c r="M6" s="12" t="s">
        <v>79</v>
      </c>
      <c r="N6" s="15">
        <f>ROUND(E6,0)</f>
        <v>87524</v>
      </c>
      <c r="O6" s="12">
        <v>87524</v>
      </c>
      <c r="P6" s="12" t="str">
        <f>IF(N6=O6, "CORRECT", "INCORRECT")</f>
        <v>CORRECT</v>
      </c>
      <c r="Q6" s="16">
        <f t="shared" si="0"/>
        <v>1</v>
      </c>
    </row>
    <row r="7" spans="1:17">
      <c r="A7" s="7" t="s">
        <v>16</v>
      </c>
      <c r="C7" s="9"/>
      <c r="D7" s="9"/>
      <c r="E7" s="9"/>
      <c r="F7" s="9"/>
      <c r="G7" s="9"/>
      <c r="I7" s="3"/>
      <c r="M7" s="12" t="s">
        <v>80</v>
      </c>
      <c r="N7" s="15">
        <f>ROUND(F6,0)</f>
        <v>91900</v>
      </c>
      <c r="O7" s="17">
        <v>91900</v>
      </c>
      <c r="P7" s="12" t="str">
        <f>IF(N7=O7, "CORRECT", "INCORRECT")</f>
        <v>CORRECT</v>
      </c>
      <c r="Q7" s="16">
        <f t="shared" si="0"/>
        <v>1</v>
      </c>
    </row>
    <row r="8" spans="1:17">
      <c r="A8" s="2" t="s">
        <v>10</v>
      </c>
      <c r="C8" s="5">
        <f>C4*0.04</f>
        <v>6000</v>
      </c>
      <c r="D8" s="5">
        <f>D4*0.04</f>
        <v>6180</v>
      </c>
      <c r="E8" s="5">
        <f>E4*0.04</f>
        <v>6365.4000000000005</v>
      </c>
      <c r="F8" s="5">
        <f>F4*0.04</f>
        <v>6683.67</v>
      </c>
      <c r="G8" s="5">
        <f>G4*0.04</f>
        <v>7017.8535000000002</v>
      </c>
      <c r="I8" s="3"/>
      <c r="M8" s="12" t="s">
        <v>81</v>
      </c>
      <c r="N8" s="15">
        <f>ROUND(G6,0)</f>
        <v>96495</v>
      </c>
      <c r="O8" s="12">
        <v>96495</v>
      </c>
      <c r="P8" s="12" t="str">
        <f t="shared" ref="P8:P20" si="2">IF(N8=O8, "CORRECT", "INCORRECT")</f>
        <v>CORRECT</v>
      </c>
      <c r="Q8" s="16">
        <f t="shared" si="0"/>
        <v>1</v>
      </c>
    </row>
    <row r="9" spans="1:17">
      <c r="A9" s="2" t="s">
        <v>13</v>
      </c>
      <c r="C9" s="5">
        <f>500*12</f>
        <v>6000</v>
      </c>
      <c r="D9" s="5">
        <f>500*12</f>
        <v>6000</v>
      </c>
      <c r="E9" s="5">
        <f>750*12</f>
        <v>9000</v>
      </c>
      <c r="F9" s="5">
        <f>750*12</f>
        <v>9000</v>
      </c>
      <c r="G9" s="5">
        <f>750*12</f>
        <v>9000</v>
      </c>
      <c r="I9" s="3"/>
      <c r="N9" s="15"/>
      <c r="Q9" s="16"/>
    </row>
    <row r="10" spans="1:17">
      <c r="A10" s="2" t="s">
        <v>14</v>
      </c>
      <c r="C10" s="5">
        <f>2*4*12*100</f>
        <v>9600</v>
      </c>
      <c r="D10" s="5">
        <f>2*4*12*100</f>
        <v>9600</v>
      </c>
      <c r="E10" s="5">
        <f>2*4*12*100</f>
        <v>9600</v>
      </c>
      <c r="F10" s="5">
        <f>4*3*12*100</f>
        <v>14400</v>
      </c>
      <c r="G10" s="5">
        <f>4*3*12*100</f>
        <v>14400</v>
      </c>
      <c r="I10" s="3"/>
      <c r="M10" s="12" t="s">
        <v>82</v>
      </c>
      <c r="N10" s="15">
        <f>ROUND(C$15,0)</f>
        <v>39900</v>
      </c>
      <c r="O10" s="12">
        <v>39900</v>
      </c>
      <c r="P10" s="12" t="str">
        <f t="shared" si="2"/>
        <v>CORRECT</v>
      </c>
      <c r="Q10" s="16">
        <f t="shared" si="0"/>
        <v>1</v>
      </c>
    </row>
    <row r="11" spans="1:17">
      <c r="A11" s="2" t="s">
        <v>72</v>
      </c>
      <c r="C11" s="5">
        <f>1200*12</f>
        <v>14400</v>
      </c>
      <c r="D11" s="5">
        <f>1200*12</f>
        <v>14400</v>
      </c>
      <c r="E11" s="5">
        <f>12*1200</f>
        <v>14400</v>
      </c>
      <c r="F11" s="5">
        <f>12*1200</f>
        <v>14400</v>
      </c>
      <c r="G11" s="5">
        <f>12*1200</f>
        <v>14400</v>
      </c>
      <c r="I11" s="3"/>
      <c r="M11" s="12" t="s">
        <v>83</v>
      </c>
      <c r="N11" s="15">
        <f>ROUND(D$15,0)</f>
        <v>42195</v>
      </c>
      <c r="O11" s="12">
        <v>42195</v>
      </c>
      <c r="P11" s="12" t="str">
        <f t="shared" si="2"/>
        <v>CORRECT</v>
      </c>
      <c r="Q11" s="16">
        <f t="shared" si="0"/>
        <v>1</v>
      </c>
    </row>
    <row r="12" spans="1:17">
      <c r="A12" s="2" t="s">
        <v>11</v>
      </c>
      <c r="C12" s="5">
        <f>300*12</f>
        <v>3600</v>
      </c>
      <c r="D12" s="5">
        <f>300*12</f>
        <v>3600</v>
      </c>
      <c r="E12" s="5">
        <f>300*12</f>
        <v>3600</v>
      </c>
      <c r="F12" s="5">
        <f>300*12</f>
        <v>3600</v>
      </c>
      <c r="G12" s="5">
        <f>300*12</f>
        <v>3600</v>
      </c>
      <c r="I12" s="3"/>
      <c r="M12" s="12" t="s">
        <v>84</v>
      </c>
      <c r="N12" s="15">
        <f>ROUND(E$15,0)</f>
        <v>37559</v>
      </c>
      <c r="O12" s="12">
        <v>37559</v>
      </c>
      <c r="P12" s="12" t="str">
        <f t="shared" si="2"/>
        <v>CORRECT</v>
      </c>
      <c r="Q12" s="16">
        <f t="shared" si="0"/>
        <v>1</v>
      </c>
    </row>
    <row r="13" spans="1:17">
      <c r="A13" s="2" t="s">
        <v>71</v>
      </c>
      <c r="C13" s="5">
        <v>0</v>
      </c>
      <c r="D13" s="5">
        <v>0</v>
      </c>
      <c r="E13" s="5">
        <f>12000/3</f>
        <v>4000</v>
      </c>
      <c r="F13" s="5">
        <f>12000/3</f>
        <v>4000</v>
      </c>
      <c r="G13" s="5">
        <f>12000/3</f>
        <v>4000</v>
      </c>
      <c r="I13" s="3"/>
      <c r="M13" s="12" t="s">
        <v>85</v>
      </c>
      <c r="N13" s="15">
        <f>ROUND(F$15,0)</f>
        <v>36817</v>
      </c>
      <c r="O13" s="12">
        <v>36817</v>
      </c>
      <c r="P13" s="12" t="str">
        <f t="shared" si="2"/>
        <v>CORRECT</v>
      </c>
      <c r="Q13" s="16">
        <f t="shared" si="0"/>
        <v>1</v>
      </c>
    </row>
    <row r="14" spans="1:17">
      <c r="A14" s="2" t="s">
        <v>12</v>
      </c>
      <c r="C14" s="6">
        <v>3000</v>
      </c>
      <c r="D14" s="6">
        <v>3000</v>
      </c>
      <c r="E14" s="6">
        <v>3000</v>
      </c>
      <c r="F14" s="6">
        <v>3000</v>
      </c>
      <c r="G14" s="6">
        <v>3000</v>
      </c>
      <c r="I14" s="3"/>
      <c r="M14" s="12" t="s">
        <v>86</v>
      </c>
      <c r="N14" s="15">
        <f>ROUND(G$15,0)</f>
        <v>41078</v>
      </c>
      <c r="O14" s="12">
        <v>41078</v>
      </c>
      <c r="P14" s="12" t="str">
        <f t="shared" si="2"/>
        <v>CORRECT</v>
      </c>
      <c r="Q14" s="16">
        <f t="shared" si="0"/>
        <v>1</v>
      </c>
    </row>
    <row r="15" spans="1:17">
      <c r="A15" s="7" t="s">
        <v>18</v>
      </c>
      <c r="C15" s="8">
        <f>C6-SUM(C7:C14)</f>
        <v>39900</v>
      </c>
      <c r="D15" s="8">
        <f t="shared" ref="D15:G15" si="3">D6-SUM(D7:D14)</f>
        <v>42195</v>
      </c>
      <c r="E15" s="8">
        <f t="shared" si="3"/>
        <v>37558.85</v>
      </c>
      <c r="F15" s="8">
        <f t="shared" si="3"/>
        <v>36816.792499999996</v>
      </c>
      <c r="G15" s="8">
        <f t="shared" si="3"/>
        <v>41077.632124999989</v>
      </c>
      <c r="I15" s="3"/>
      <c r="N15" s="15"/>
      <c r="Q15" s="16"/>
    </row>
    <row r="16" spans="1:17">
      <c r="A16" s="2" t="s">
        <v>17</v>
      </c>
      <c r="C16" s="6">
        <f>60000*0.03</f>
        <v>1800</v>
      </c>
      <c r="D16" s="6">
        <f>60000*0.03</f>
        <v>1800</v>
      </c>
      <c r="E16" s="6">
        <f>60000*0.03</f>
        <v>1800</v>
      </c>
      <c r="F16" s="6">
        <v>0</v>
      </c>
      <c r="G16" s="6">
        <v>0</v>
      </c>
      <c r="I16" s="3"/>
      <c r="M16" s="12" t="s">
        <v>87</v>
      </c>
      <c r="N16" s="15">
        <f>ROUND(C$19,0)</f>
        <v>24765</v>
      </c>
      <c r="O16" s="15">
        <v>24765</v>
      </c>
      <c r="P16" s="12" t="str">
        <f t="shared" si="2"/>
        <v>CORRECT</v>
      </c>
      <c r="Q16" s="16">
        <f t="shared" ref="Q16:Q20" si="4">IF(N16=O16, 1,0)</f>
        <v>1</v>
      </c>
    </row>
    <row r="17" spans="1:17">
      <c r="A17" s="7" t="s">
        <v>19</v>
      </c>
      <c r="C17" s="8">
        <f>C15-C16</f>
        <v>38100</v>
      </c>
      <c r="D17" s="8">
        <f t="shared" ref="D17:G17" si="5">D15-D16</f>
        <v>40395</v>
      </c>
      <c r="E17" s="8">
        <f t="shared" si="5"/>
        <v>35758.85</v>
      </c>
      <c r="F17" s="8">
        <f t="shared" si="5"/>
        <v>36816.792499999996</v>
      </c>
      <c r="G17" s="8">
        <f t="shared" si="5"/>
        <v>41077.632124999989</v>
      </c>
      <c r="I17" s="3"/>
      <c r="M17" s="12" t="s">
        <v>88</v>
      </c>
      <c r="N17" s="15">
        <f>ROUND(D$19,0)</f>
        <v>26257</v>
      </c>
      <c r="O17" s="15">
        <v>26257</v>
      </c>
      <c r="P17" s="12" t="str">
        <f t="shared" si="2"/>
        <v>CORRECT</v>
      </c>
      <c r="Q17" s="16">
        <f t="shared" si="4"/>
        <v>1</v>
      </c>
    </row>
    <row r="18" spans="1:17">
      <c r="A18" s="2" t="s">
        <v>20</v>
      </c>
      <c r="C18" s="5">
        <f>C17*0.35</f>
        <v>13335</v>
      </c>
      <c r="D18" s="5">
        <f>D17*0.35</f>
        <v>14138.25</v>
      </c>
      <c r="E18" s="5">
        <f>E17*0.35</f>
        <v>12515.597499999998</v>
      </c>
      <c r="F18" s="5">
        <f>F17*0.35</f>
        <v>12885.877374999998</v>
      </c>
      <c r="G18" s="5">
        <f>G17*0.35</f>
        <v>14377.171243749995</v>
      </c>
      <c r="I18" s="3"/>
      <c r="M18" s="12" t="s">
        <v>89</v>
      </c>
      <c r="N18" s="15">
        <f>ROUND(E$19,0)</f>
        <v>23243</v>
      </c>
      <c r="O18" s="15">
        <v>23243</v>
      </c>
      <c r="P18" s="12" t="str">
        <f t="shared" si="2"/>
        <v>CORRECT</v>
      </c>
      <c r="Q18" s="16">
        <f t="shared" si="4"/>
        <v>1</v>
      </c>
    </row>
    <row r="19" spans="1:17" ht="15.75" thickBot="1">
      <c r="A19" s="7" t="s">
        <v>21</v>
      </c>
      <c r="C19" s="10">
        <f>C17-C18</f>
        <v>24765</v>
      </c>
      <c r="D19" s="10">
        <f t="shared" ref="D19:G19" si="6">D17-D18</f>
        <v>26256.75</v>
      </c>
      <c r="E19" s="10">
        <f t="shared" si="6"/>
        <v>23243.252500000002</v>
      </c>
      <c r="F19" s="10">
        <f t="shared" si="6"/>
        <v>23930.915125</v>
      </c>
      <c r="G19" s="10">
        <f t="shared" si="6"/>
        <v>26700.460881249994</v>
      </c>
      <c r="I19" s="3"/>
      <c r="M19" s="12" t="s">
        <v>90</v>
      </c>
      <c r="N19" s="15">
        <f>ROUND(F$19,0)</f>
        <v>23931</v>
      </c>
      <c r="O19" s="15">
        <v>23931</v>
      </c>
      <c r="P19" s="12" t="str">
        <f t="shared" si="2"/>
        <v>CORRECT</v>
      </c>
      <c r="Q19" s="16">
        <f t="shared" si="4"/>
        <v>1</v>
      </c>
    </row>
    <row r="20" spans="1:17" ht="16.5" thickTop="1" thickBot="1">
      <c r="C20" s="11"/>
      <c r="D20" s="11"/>
      <c r="E20" s="11"/>
      <c r="F20" s="11"/>
      <c r="G20" s="11"/>
      <c r="I20" s="3"/>
      <c r="M20" s="18" t="s">
        <v>91</v>
      </c>
      <c r="N20" s="19">
        <f>ROUND(G$19,0)</f>
        <v>26700</v>
      </c>
      <c r="O20" s="19">
        <v>26700</v>
      </c>
      <c r="P20" s="12" t="str">
        <f t="shared" si="2"/>
        <v>CORRECT</v>
      </c>
      <c r="Q20" s="20">
        <f t="shared" si="4"/>
        <v>1</v>
      </c>
    </row>
    <row r="21" spans="1:17">
      <c r="I21" s="3"/>
      <c r="P21" s="12" t="s">
        <v>105</v>
      </c>
      <c r="Q21" s="21">
        <f>SUM(Q4:Q20)</f>
        <v>15</v>
      </c>
    </row>
    <row r="22" spans="1:17">
      <c r="I22" s="3"/>
    </row>
    <row r="23" spans="1:17">
      <c r="I23" s="3"/>
    </row>
    <row r="24" spans="1:17">
      <c r="I24" s="3"/>
    </row>
    <row r="25" spans="1:17">
      <c r="E25" s="11"/>
      <c r="I25" s="3"/>
    </row>
    <row r="26" spans="1:17">
      <c r="I26" s="3"/>
    </row>
    <row r="27" spans="1:17">
      <c r="I27" s="3"/>
    </row>
    <row r="28" spans="1:17">
      <c r="I28" s="3"/>
    </row>
    <row r="29" spans="1:17">
      <c r="I29" s="3"/>
    </row>
    <row r="30" spans="1:17">
      <c r="I30" s="3"/>
    </row>
    <row r="31" spans="1:17">
      <c r="I31" s="3"/>
    </row>
    <row r="32" spans="1:17">
      <c r="I32" s="3"/>
    </row>
    <row r="33" spans="9:9">
      <c r="I33" s="3"/>
    </row>
    <row r="34" spans="9:9">
      <c r="I34" s="3"/>
    </row>
    <row r="35" spans="9:9">
      <c r="I35" s="3"/>
    </row>
    <row r="36" spans="9:9">
      <c r="I36" s="3"/>
    </row>
    <row r="37" spans="9:9">
      <c r="I37" s="3"/>
    </row>
    <row r="38" spans="9:9">
      <c r="I38" s="3"/>
    </row>
    <row r="39" spans="9:9">
      <c r="I39" s="3"/>
    </row>
  </sheetData>
  <sheetProtection sheet="1" objects="1" scenarios="1" formatCells="0" formatColumns="0" formatRows="0" selectLockedCells="1"/>
  <mergeCells count="2">
    <mergeCell ref="A1:H1"/>
    <mergeCell ref="M1:Q1"/>
  </mergeCells>
  <conditionalFormatting sqref="P4:P20">
    <cfRule type="cellIs" dxfId="5" priority="1" operator="equal">
      <formula>"INCORRECT"</formula>
    </cfRule>
    <cfRule type="cellIs" dxfId="4" priority="2" operator="equal">
      <formula>"CORRECT"</formula>
    </cfRule>
  </conditionalFormatting>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dimension ref="A1:Q40"/>
  <sheetViews>
    <sheetView workbookViewId="0">
      <selection activeCell="J18" sqref="J18"/>
    </sheetView>
  </sheetViews>
  <sheetFormatPr defaultRowHeight="15"/>
  <cols>
    <col min="1" max="1" width="34.5703125" style="2" customWidth="1"/>
    <col min="2" max="2" width="9.140625" style="2"/>
    <col min="3" max="7" width="11.5703125" style="2" bestFit="1" customWidth="1"/>
    <col min="8" max="8" width="9.140625" style="2"/>
    <col min="9" max="9" width="12.42578125" style="2" customWidth="1"/>
    <col min="10" max="10" width="3.140625" style="2" customWidth="1"/>
    <col min="11" max="11" width="56.5703125" style="2" customWidth="1"/>
    <col min="12" max="12" width="4.28515625" style="2" customWidth="1"/>
    <col min="13" max="13" width="22" style="12" bestFit="1" customWidth="1"/>
    <col min="14" max="15" width="10.7109375" style="12" hidden="1" customWidth="1"/>
    <col min="16" max="16" width="20" style="12" bestFit="1" customWidth="1"/>
    <col min="17" max="17" width="18.85546875" style="12" bestFit="1" customWidth="1"/>
    <col min="18" max="16384" width="9.140625" style="2"/>
  </cols>
  <sheetData>
    <row r="1" spans="1:17" ht="21">
      <c r="A1" s="46" t="s">
        <v>22</v>
      </c>
      <c r="B1" s="46"/>
      <c r="C1" s="46"/>
      <c r="D1" s="46"/>
      <c r="E1" s="46"/>
      <c r="F1" s="46"/>
      <c r="G1" s="46"/>
      <c r="H1" s="46"/>
      <c r="I1" s="22" t="s">
        <v>15</v>
      </c>
      <c r="J1" s="23"/>
      <c r="K1" s="22" t="s">
        <v>9</v>
      </c>
      <c r="M1" s="45" t="s">
        <v>92</v>
      </c>
      <c r="N1" s="45"/>
      <c r="O1" s="45"/>
      <c r="P1" s="45"/>
      <c r="Q1" s="45"/>
    </row>
    <row r="2" spans="1:17" ht="7.5" customHeight="1">
      <c r="A2" s="3"/>
      <c r="B2" s="3"/>
      <c r="C2" s="3"/>
      <c r="D2" s="3"/>
      <c r="E2" s="3"/>
      <c r="F2" s="3"/>
      <c r="G2" s="3"/>
      <c r="H2" s="3"/>
    </row>
    <row r="3" spans="1:17" ht="15.75">
      <c r="C3" s="4" t="s">
        <v>1</v>
      </c>
      <c r="D3" s="4" t="s">
        <v>2</v>
      </c>
      <c r="E3" s="4" t="s">
        <v>3</v>
      </c>
      <c r="F3" s="4" t="s">
        <v>4</v>
      </c>
      <c r="G3" s="4" t="s">
        <v>5</v>
      </c>
      <c r="M3" s="13" t="s">
        <v>74</v>
      </c>
      <c r="N3" s="14" t="s">
        <v>93</v>
      </c>
      <c r="O3" s="13" t="s">
        <v>94</v>
      </c>
      <c r="P3" s="13" t="s">
        <v>75</v>
      </c>
      <c r="Q3" s="13" t="s">
        <v>76</v>
      </c>
    </row>
    <row r="4" spans="1:17">
      <c r="A4" s="7" t="s">
        <v>23</v>
      </c>
      <c r="I4" s="3"/>
      <c r="M4" s="12" t="s">
        <v>95</v>
      </c>
      <c r="N4" s="15">
        <f>ROUND(C$11,0)</f>
        <v>133400</v>
      </c>
      <c r="O4" s="12">
        <v>133400</v>
      </c>
      <c r="P4" s="12" t="str">
        <f>IF(N4=O4, "CORRECT", "INCORRECT")</f>
        <v>CORRECT</v>
      </c>
      <c r="Q4" s="16">
        <f>IF(N4=O4, 1,0)</f>
        <v>1</v>
      </c>
    </row>
    <row r="5" spans="1:17">
      <c r="A5" s="2" t="s">
        <v>24</v>
      </c>
      <c r="C5" s="24">
        <f>'Cashflow Statement'!C29</f>
        <v>101400</v>
      </c>
      <c r="D5" s="24">
        <f>'Cashflow Statement'!D29</f>
        <v>99960</v>
      </c>
      <c r="E5" s="24">
        <f>'Cashflow Statement'!E29</f>
        <v>124580.6</v>
      </c>
      <c r="F5" s="24">
        <f>'Cashflow Statement'!F29</f>
        <v>138081.79500000001</v>
      </c>
      <c r="G5" s="24">
        <f>'Cashflow Statement'!G29</f>
        <v>173273.54975000001</v>
      </c>
      <c r="I5" s="3"/>
      <c r="M5" s="12" t="s">
        <v>96</v>
      </c>
      <c r="N5" s="15">
        <f>ROUND(D$11,0)</f>
        <v>142960</v>
      </c>
      <c r="O5" s="12">
        <v>142960</v>
      </c>
      <c r="P5" s="12" t="str">
        <f>IF(N5=O5, "CORRECT", "INCORRECT")</f>
        <v>CORRECT</v>
      </c>
      <c r="Q5" s="16">
        <f t="shared" ref="Q5:Q14" si="0">IF(N5=O5, 1,0)</f>
        <v>1</v>
      </c>
    </row>
    <row r="6" spans="1:17">
      <c r="A6" s="25" t="s">
        <v>25</v>
      </c>
      <c r="C6" s="24">
        <v>10000</v>
      </c>
      <c r="D6" s="24">
        <v>12000</v>
      </c>
      <c r="E6" s="24">
        <v>8000</v>
      </c>
      <c r="F6" s="24">
        <v>6000</v>
      </c>
      <c r="G6" s="24">
        <v>10000</v>
      </c>
      <c r="I6" s="3"/>
      <c r="M6" s="12" t="s">
        <v>97</v>
      </c>
      <c r="N6" s="15">
        <f>ROUND(E$11,0)</f>
        <v>156581</v>
      </c>
      <c r="O6" s="12">
        <v>156581</v>
      </c>
      <c r="P6" s="12" t="str">
        <f>IF(N6=O6, "CORRECT", "INCORRECT")</f>
        <v>CORRECT</v>
      </c>
      <c r="Q6" s="16">
        <f t="shared" si="0"/>
        <v>1</v>
      </c>
    </row>
    <row r="7" spans="1:17">
      <c r="A7" s="25" t="s">
        <v>73</v>
      </c>
      <c r="C7" s="26">
        <v>0</v>
      </c>
      <c r="D7" s="26">
        <v>12000</v>
      </c>
      <c r="E7" s="26">
        <v>8000</v>
      </c>
      <c r="F7" s="26">
        <f>'Income Statement'!$F$13</f>
        <v>4000</v>
      </c>
      <c r="G7" s="26">
        <v>0</v>
      </c>
      <c r="I7" s="3"/>
      <c r="M7" s="12" t="s">
        <v>98</v>
      </c>
      <c r="N7" s="15">
        <f>ROUND(F$11,0)</f>
        <v>161082</v>
      </c>
      <c r="O7" s="17">
        <v>161082</v>
      </c>
      <c r="P7" s="12" t="str">
        <f>IF(N7=O7, "CORRECT", "INCORRECT")</f>
        <v>CORRECT</v>
      </c>
      <c r="Q7" s="16">
        <f t="shared" si="0"/>
        <v>1</v>
      </c>
    </row>
    <row r="8" spans="1:17">
      <c r="A8" s="7" t="s">
        <v>27</v>
      </c>
      <c r="C8" s="27">
        <f>SUM(C5:C7)</f>
        <v>111400</v>
      </c>
      <c r="D8" s="27">
        <f t="shared" ref="D8:G8" si="1">SUM(D5:D7)</f>
        <v>123960</v>
      </c>
      <c r="E8" s="27">
        <f t="shared" si="1"/>
        <v>140580.6</v>
      </c>
      <c r="F8" s="27">
        <f t="shared" si="1"/>
        <v>148081.79500000001</v>
      </c>
      <c r="G8" s="27">
        <f t="shared" si="1"/>
        <v>183273.54975000001</v>
      </c>
      <c r="I8" s="3"/>
      <c r="M8" s="12" t="s">
        <v>99</v>
      </c>
      <c r="N8" s="15">
        <f>ROUND(G$11,0)</f>
        <v>193274</v>
      </c>
      <c r="O8" s="12">
        <v>193274</v>
      </c>
      <c r="P8" s="12" t="str">
        <f t="shared" ref="P8:P20" si="2">IF(N8=O8, "CORRECT", "INCORRECT")</f>
        <v>CORRECT</v>
      </c>
      <c r="Q8" s="16">
        <f t="shared" si="0"/>
        <v>1</v>
      </c>
    </row>
    <row r="9" spans="1:17">
      <c r="A9" s="25" t="s">
        <v>177</v>
      </c>
      <c r="C9" s="30">
        <f>15000-1000</f>
        <v>14000</v>
      </c>
      <c r="D9" s="30">
        <f>C9-1000</f>
        <v>13000</v>
      </c>
      <c r="E9" s="30">
        <f>D9-1000</f>
        <v>12000</v>
      </c>
      <c r="F9" s="30">
        <f>E9-1000</f>
        <v>11000</v>
      </c>
      <c r="G9" s="30">
        <f>F9-1000</f>
        <v>10000</v>
      </c>
      <c r="I9" s="3"/>
      <c r="K9" s="2" t="s">
        <v>189</v>
      </c>
      <c r="N9" s="15"/>
      <c r="Q9" s="16"/>
    </row>
    <row r="10" spans="1:17">
      <c r="A10" s="25" t="s">
        <v>178</v>
      </c>
      <c r="C10" s="24">
        <f>10000-2000</f>
        <v>8000</v>
      </c>
      <c r="D10" s="24">
        <f>C10-2000</f>
        <v>6000</v>
      </c>
      <c r="E10" s="24">
        <f>D10-2000</f>
        <v>4000</v>
      </c>
      <c r="F10" s="24">
        <f>E10-2000</f>
        <v>2000</v>
      </c>
      <c r="G10" s="24">
        <f>F10-2000</f>
        <v>0</v>
      </c>
      <c r="I10" s="3"/>
      <c r="K10" s="2" t="s">
        <v>190</v>
      </c>
      <c r="M10" s="12" t="s">
        <v>100</v>
      </c>
      <c r="N10" s="15">
        <f>ROUND(C$20,0)</f>
        <v>78635</v>
      </c>
      <c r="O10" s="12">
        <v>78635</v>
      </c>
      <c r="P10" s="12" t="str">
        <f t="shared" si="2"/>
        <v>CORRECT</v>
      </c>
      <c r="Q10" s="16">
        <f t="shared" si="0"/>
        <v>1</v>
      </c>
    </row>
    <row r="11" spans="1:17" ht="15.75" thickBot="1">
      <c r="A11" s="7" t="s">
        <v>28</v>
      </c>
      <c r="C11" s="28">
        <f>C8+C9+C10</f>
        <v>133400</v>
      </c>
      <c r="D11" s="28">
        <f t="shared" ref="D11:G11" si="3">D8+D9+D10</f>
        <v>142960</v>
      </c>
      <c r="E11" s="28">
        <f t="shared" si="3"/>
        <v>156580.6</v>
      </c>
      <c r="F11" s="28">
        <f t="shared" si="3"/>
        <v>161081.79500000001</v>
      </c>
      <c r="G11" s="28">
        <f t="shared" si="3"/>
        <v>193273.54975000001</v>
      </c>
      <c r="I11" s="3"/>
      <c r="M11" s="12" t="s">
        <v>101</v>
      </c>
      <c r="N11" s="15">
        <f>ROUND(D$20,0)</f>
        <v>61938</v>
      </c>
      <c r="O11" s="12">
        <v>61938</v>
      </c>
      <c r="P11" s="12" t="str">
        <f t="shared" si="2"/>
        <v>CORRECT</v>
      </c>
      <c r="Q11" s="16">
        <f t="shared" si="0"/>
        <v>1</v>
      </c>
    </row>
    <row r="12" spans="1:17" ht="15.75" thickTop="1">
      <c r="C12" s="11"/>
      <c r="D12" s="11"/>
      <c r="E12" s="11"/>
      <c r="F12" s="11"/>
      <c r="G12" s="11"/>
      <c r="I12" s="3"/>
      <c r="M12" s="12" t="s">
        <v>102</v>
      </c>
      <c r="N12" s="15">
        <f>ROUND(E$20,0)</f>
        <v>42316</v>
      </c>
      <c r="O12" s="12">
        <v>42316</v>
      </c>
      <c r="P12" s="12" t="str">
        <f t="shared" si="2"/>
        <v>CORRECT</v>
      </c>
      <c r="Q12" s="16">
        <f t="shared" si="0"/>
        <v>1</v>
      </c>
    </row>
    <row r="13" spans="1:17">
      <c r="A13" s="7" t="s">
        <v>29</v>
      </c>
      <c r="C13" s="11"/>
      <c r="D13" s="11"/>
      <c r="E13" s="11"/>
      <c r="F13" s="11"/>
      <c r="G13" s="11"/>
      <c r="I13" s="3"/>
      <c r="M13" s="12" t="s">
        <v>103</v>
      </c>
      <c r="N13" s="15">
        <f>ROUND(F$20,0)</f>
        <v>22886</v>
      </c>
      <c r="O13" s="12">
        <v>22886</v>
      </c>
      <c r="P13" s="12" t="str">
        <f t="shared" si="2"/>
        <v>CORRECT</v>
      </c>
      <c r="Q13" s="16">
        <f t="shared" si="0"/>
        <v>1</v>
      </c>
    </row>
    <row r="14" spans="1:17">
      <c r="A14" s="2" t="s">
        <v>32</v>
      </c>
      <c r="C14" s="24">
        <v>2000</v>
      </c>
      <c r="D14" s="24">
        <v>4000</v>
      </c>
      <c r="E14" s="24">
        <v>5000</v>
      </c>
      <c r="F14" s="24">
        <v>6000</v>
      </c>
      <c r="G14" s="24">
        <v>9000</v>
      </c>
      <c r="I14" s="3"/>
      <c r="M14" s="12" t="s">
        <v>104</v>
      </c>
      <c r="N14" s="15">
        <f>ROUND(G$20,0)</f>
        <v>28377</v>
      </c>
      <c r="O14" s="12">
        <v>28377</v>
      </c>
      <c r="P14" s="12" t="str">
        <f t="shared" si="2"/>
        <v>CORRECT</v>
      </c>
      <c r="Q14" s="16">
        <f t="shared" si="0"/>
        <v>1</v>
      </c>
    </row>
    <row r="15" spans="1:17">
      <c r="A15" s="25" t="s">
        <v>31</v>
      </c>
      <c r="C15" s="29">
        <v>1500</v>
      </c>
      <c r="D15" s="29">
        <v>2000</v>
      </c>
      <c r="E15" s="29">
        <v>3000</v>
      </c>
      <c r="F15" s="29">
        <v>4000</v>
      </c>
      <c r="G15" s="29">
        <v>5000</v>
      </c>
      <c r="I15" s="3"/>
      <c r="N15" s="15"/>
      <c r="Q15" s="16"/>
    </row>
    <row r="16" spans="1:17">
      <c r="A16" s="25" t="s">
        <v>69</v>
      </c>
      <c r="C16" s="29">
        <f>'Income Statement'!$C$16</f>
        <v>1800</v>
      </c>
      <c r="D16" s="29">
        <f>'Income Statement'!$D$16</f>
        <v>1800</v>
      </c>
      <c r="E16" s="29">
        <f>'Income Statement'!$E$16</f>
        <v>1800</v>
      </c>
      <c r="F16" s="29">
        <v>0</v>
      </c>
      <c r="G16" s="29">
        <v>0</v>
      </c>
      <c r="I16" s="3"/>
      <c r="M16" s="12" t="s">
        <v>106</v>
      </c>
      <c r="N16" s="15">
        <f>ROUND(C$26,0)</f>
        <v>133400</v>
      </c>
      <c r="O16" s="15">
        <v>133400</v>
      </c>
      <c r="P16" s="12" t="str">
        <f t="shared" si="2"/>
        <v>CORRECT</v>
      </c>
      <c r="Q16" s="16">
        <f t="shared" ref="Q16:Q20" si="4">IF(N16=O16, 1,0)</f>
        <v>1</v>
      </c>
    </row>
    <row r="17" spans="1:17">
      <c r="A17" s="25" t="s">
        <v>33</v>
      </c>
      <c r="C17" s="26">
        <f>'Income Statement'!$C$18</f>
        <v>13335</v>
      </c>
      <c r="D17" s="26">
        <f>'Income Statement'!$D$18</f>
        <v>14138.25</v>
      </c>
      <c r="E17" s="26">
        <f>'Income Statement'!$E$18</f>
        <v>12515.597499999998</v>
      </c>
      <c r="F17" s="26">
        <f>'Income Statement'!$F$18</f>
        <v>12885.877374999998</v>
      </c>
      <c r="G17" s="26">
        <f>'Income Statement'!$G$18</f>
        <v>14377.171243749995</v>
      </c>
      <c r="I17" s="3"/>
      <c r="M17" s="12" t="s">
        <v>107</v>
      </c>
      <c r="N17" s="15">
        <f>ROUND(D$26,0)</f>
        <v>142960</v>
      </c>
      <c r="O17" s="15">
        <v>142960</v>
      </c>
      <c r="P17" s="12" t="str">
        <f t="shared" si="2"/>
        <v>CORRECT</v>
      </c>
      <c r="Q17" s="16">
        <f t="shared" si="4"/>
        <v>1</v>
      </c>
    </row>
    <row r="18" spans="1:17">
      <c r="A18" s="7" t="s">
        <v>34</v>
      </c>
      <c r="C18" s="11">
        <f>SUM(C14:C17)</f>
        <v>18635</v>
      </c>
      <c r="D18" s="11">
        <f t="shared" ref="D18:G18" si="5">SUM(D14:D17)</f>
        <v>21938.25</v>
      </c>
      <c r="E18" s="11">
        <f t="shared" si="5"/>
        <v>22315.597499999996</v>
      </c>
      <c r="F18" s="11">
        <f t="shared" si="5"/>
        <v>22885.877374999996</v>
      </c>
      <c r="G18" s="11">
        <f t="shared" si="5"/>
        <v>28377.171243749995</v>
      </c>
      <c r="I18" s="3"/>
      <c r="M18" s="12" t="s">
        <v>108</v>
      </c>
      <c r="N18" s="15">
        <f>ROUND(E$26,0)</f>
        <v>156581</v>
      </c>
      <c r="O18" s="15">
        <v>156581</v>
      </c>
      <c r="P18" s="12" t="str">
        <f t="shared" si="2"/>
        <v>CORRECT</v>
      </c>
      <c r="Q18" s="16">
        <f t="shared" si="4"/>
        <v>1</v>
      </c>
    </row>
    <row r="19" spans="1:17">
      <c r="A19" s="25" t="s">
        <v>35</v>
      </c>
      <c r="C19" s="24">
        <v>60000</v>
      </c>
      <c r="D19" s="24">
        <v>40000</v>
      </c>
      <c r="E19" s="24">
        <v>20000</v>
      </c>
      <c r="F19" s="24">
        <v>0</v>
      </c>
      <c r="G19" s="24">
        <v>0</v>
      </c>
      <c r="I19" s="3"/>
      <c r="M19" s="12" t="s">
        <v>109</v>
      </c>
      <c r="N19" s="15">
        <f>ROUND(F$26,0)</f>
        <v>161082</v>
      </c>
      <c r="O19" s="15">
        <v>161082</v>
      </c>
      <c r="P19" s="12" t="str">
        <f t="shared" si="2"/>
        <v>CORRECT</v>
      </c>
      <c r="Q19" s="16">
        <f t="shared" si="4"/>
        <v>1</v>
      </c>
    </row>
    <row r="20" spans="1:17" ht="15.75" thickBot="1">
      <c r="A20" s="7" t="s">
        <v>36</v>
      </c>
      <c r="C20" s="28">
        <f>C18+C19</f>
        <v>78635</v>
      </c>
      <c r="D20" s="28">
        <f t="shared" ref="D20:G20" si="6">D18+D19</f>
        <v>61938.25</v>
      </c>
      <c r="E20" s="28">
        <f t="shared" si="6"/>
        <v>42315.597499999996</v>
      </c>
      <c r="F20" s="28">
        <f t="shared" si="6"/>
        <v>22885.877374999996</v>
      </c>
      <c r="G20" s="28">
        <f t="shared" si="6"/>
        <v>28377.171243749995</v>
      </c>
      <c r="I20" s="3"/>
      <c r="M20" s="18" t="s">
        <v>110</v>
      </c>
      <c r="N20" s="19">
        <f>ROUND(G$26,0)</f>
        <v>193274</v>
      </c>
      <c r="O20" s="19">
        <v>193274</v>
      </c>
      <c r="P20" s="18" t="str">
        <f t="shared" si="2"/>
        <v>CORRECT</v>
      </c>
      <c r="Q20" s="20">
        <f t="shared" si="4"/>
        <v>1</v>
      </c>
    </row>
    <row r="21" spans="1:17" ht="15.75" thickTop="1">
      <c r="C21" s="11"/>
      <c r="D21" s="11"/>
      <c r="E21" s="11"/>
      <c r="F21" s="11"/>
      <c r="G21" s="11"/>
      <c r="I21" s="3"/>
      <c r="P21" s="12" t="s">
        <v>105</v>
      </c>
      <c r="Q21" s="21">
        <f>SUM(Q4:Q20)</f>
        <v>15</v>
      </c>
    </row>
    <row r="22" spans="1:17">
      <c r="A22" s="7" t="s">
        <v>37</v>
      </c>
      <c r="C22" s="11"/>
      <c r="D22" s="11"/>
      <c r="E22" s="11"/>
      <c r="F22" s="11"/>
      <c r="G22" s="11"/>
      <c r="I22" s="3"/>
    </row>
    <row r="23" spans="1:17">
      <c r="A23" s="2" t="s">
        <v>38</v>
      </c>
      <c r="C23" s="24">
        <v>30000</v>
      </c>
      <c r="D23" s="24">
        <v>30000</v>
      </c>
      <c r="E23" s="24">
        <v>40000</v>
      </c>
      <c r="F23" s="24">
        <v>40000</v>
      </c>
      <c r="G23" s="24">
        <v>40000</v>
      </c>
      <c r="I23" s="3"/>
    </row>
    <row r="24" spans="1:17">
      <c r="A24" s="25" t="s">
        <v>39</v>
      </c>
      <c r="C24" s="26">
        <f>'Income Statement'!$C$19</f>
        <v>24765</v>
      </c>
      <c r="D24" s="26">
        <f>C24+'Income Statement'!D19</f>
        <v>51021.75</v>
      </c>
      <c r="E24" s="26">
        <f>D24+'Income Statement'!E19</f>
        <v>74265.002500000002</v>
      </c>
      <c r="F24" s="26">
        <f>E24+'Income Statement'!F19</f>
        <v>98195.917625000002</v>
      </c>
      <c r="G24" s="26">
        <f>F24+'Income Statement'!G19</f>
        <v>124896.37850625</v>
      </c>
      <c r="I24" s="3"/>
    </row>
    <row r="25" spans="1:17">
      <c r="A25" s="7" t="s">
        <v>40</v>
      </c>
      <c r="C25" s="11">
        <f>SUM(C23:C24)</f>
        <v>54765</v>
      </c>
      <c r="D25" s="11">
        <f t="shared" ref="D25:G25" si="7">SUM(D23:D24)</f>
        <v>81021.75</v>
      </c>
      <c r="E25" s="11">
        <f t="shared" si="7"/>
        <v>114265.0025</v>
      </c>
      <c r="F25" s="11">
        <f t="shared" si="7"/>
        <v>138195.917625</v>
      </c>
      <c r="G25" s="11">
        <f t="shared" si="7"/>
        <v>164896.37850624998</v>
      </c>
      <c r="I25" s="3"/>
    </row>
    <row r="26" spans="1:17" ht="15.75" thickBot="1">
      <c r="A26" s="7" t="s">
        <v>41</v>
      </c>
      <c r="C26" s="28">
        <f>C20+C25</f>
        <v>133400</v>
      </c>
      <c r="D26" s="28">
        <f t="shared" ref="D26:G26" si="8">D20+D25</f>
        <v>142960</v>
      </c>
      <c r="E26" s="28">
        <f t="shared" si="8"/>
        <v>156580.6</v>
      </c>
      <c r="F26" s="28">
        <f t="shared" si="8"/>
        <v>161081.79499999998</v>
      </c>
      <c r="G26" s="28">
        <f t="shared" si="8"/>
        <v>193273.54974999998</v>
      </c>
      <c r="I26" s="3"/>
    </row>
    <row r="27" spans="1:17" ht="15.75" thickTop="1">
      <c r="I27" s="3"/>
    </row>
    <row r="28" spans="1:17">
      <c r="I28" s="3"/>
    </row>
    <row r="29" spans="1:17">
      <c r="E29" s="11"/>
      <c r="I29" s="3"/>
    </row>
    <row r="30" spans="1:17">
      <c r="C30" s="11"/>
      <c r="F30" s="11"/>
      <c r="I30" s="3"/>
    </row>
    <row r="31" spans="1:17">
      <c r="I31" s="3"/>
    </row>
    <row r="32" spans="1:17">
      <c r="I32" s="3"/>
    </row>
    <row r="33" spans="9:9">
      <c r="I33" s="3"/>
    </row>
    <row r="34" spans="9:9">
      <c r="I34" s="3"/>
    </row>
    <row r="35" spans="9:9">
      <c r="I35" s="3"/>
    </row>
    <row r="36" spans="9:9">
      <c r="I36" s="3"/>
    </row>
    <row r="37" spans="9:9">
      <c r="I37" s="3"/>
    </row>
    <row r="38" spans="9:9">
      <c r="I38" s="3"/>
    </row>
    <row r="39" spans="9:9">
      <c r="I39" s="3"/>
    </row>
    <row r="40" spans="9:9">
      <c r="I40" s="3"/>
    </row>
  </sheetData>
  <sheetProtection sheet="1" objects="1" scenarios="1" formatCells="0" formatColumns="0" formatRows="0" selectLockedCells="1"/>
  <mergeCells count="2">
    <mergeCell ref="A1:H1"/>
    <mergeCell ref="M1:Q1"/>
  </mergeCells>
  <conditionalFormatting sqref="P3:P20">
    <cfRule type="cellIs" dxfId="3" priority="2" operator="equal">
      <formula>"correct"</formula>
    </cfRule>
  </conditionalFormatting>
  <conditionalFormatting sqref="P4:P20">
    <cfRule type="cellIs" dxfId="2" priority="1" operator="equal">
      <formula>"incorrect"</formula>
    </cfRule>
  </conditionalFormatting>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dimension ref="A1:Q40"/>
  <sheetViews>
    <sheetView topLeftCell="A4" zoomScale="85" zoomScaleNormal="85" workbookViewId="0">
      <selection activeCell="K37" sqref="K37"/>
    </sheetView>
  </sheetViews>
  <sheetFormatPr defaultRowHeight="15"/>
  <cols>
    <col min="1" max="1" width="36.28515625" style="2" bestFit="1" customWidth="1"/>
    <col min="2" max="2" width="0" style="2" hidden="1" customWidth="1"/>
    <col min="3" max="3" width="11" style="2" customWidth="1"/>
    <col min="4" max="4" width="11.42578125" style="2" customWidth="1"/>
    <col min="5" max="5" width="12.5703125" style="2" customWidth="1"/>
    <col min="6" max="6" width="13.140625" style="2" customWidth="1"/>
    <col min="7" max="7" width="10.85546875" style="2" customWidth="1"/>
    <col min="8" max="8" width="9.140625" style="2"/>
    <col min="9" max="9" width="12.28515625" style="2" customWidth="1"/>
    <col min="10" max="10" width="3.140625" style="2" customWidth="1"/>
    <col min="11" max="11" width="56.5703125" style="2" customWidth="1"/>
    <col min="12" max="12" width="9.140625" style="2"/>
    <col min="13" max="13" width="22" style="12" bestFit="1" customWidth="1"/>
    <col min="14" max="15" width="10.85546875" style="12" hidden="1" customWidth="1"/>
    <col min="16" max="16" width="20" style="12" bestFit="1" customWidth="1"/>
    <col min="17" max="17" width="18.85546875" style="12" bestFit="1" customWidth="1"/>
    <col min="18" max="16384" width="9.140625" style="2"/>
  </cols>
  <sheetData>
    <row r="1" spans="1:17" ht="21">
      <c r="A1" s="47" t="s">
        <v>42</v>
      </c>
      <c r="B1" s="47"/>
      <c r="C1" s="47"/>
      <c r="D1" s="47"/>
      <c r="E1" s="47"/>
      <c r="F1" s="47"/>
      <c r="G1" s="47"/>
      <c r="H1" s="47"/>
      <c r="I1" s="31" t="s">
        <v>15</v>
      </c>
      <c r="J1" s="32"/>
      <c r="K1" s="31" t="s">
        <v>9</v>
      </c>
      <c r="M1" s="45" t="s">
        <v>92</v>
      </c>
      <c r="N1" s="45"/>
      <c r="O1" s="45"/>
      <c r="P1" s="45"/>
      <c r="Q1" s="45"/>
    </row>
    <row r="2" spans="1:17" ht="7.5" customHeight="1">
      <c r="A2" s="3"/>
      <c r="B2" s="3"/>
      <c r="C2" s="3"/>
      <c r="D2" s="3"/>
      <c r="E2" s="3"/>
      <c r="F2" s="3"/>
      <c r="G2" s="3"/>
      <c r="H2" s="3"/>
    </row>
    <row r="3" spans="1:17" ht="15.75">
      <c r="C3" s="4" t="s">
        <v>1</v>
      </c>
      <c r="D3" s="4" t="s">
        <v>2</v>
      </c>
      <c r="E3" s="4" t="s">
        <v>3</v>
      </c>
      <c r="F3" s="4" t="s">
        <v>4</v>
      </c>
      <c r="G3" s="4" t="s">
        <v>5</v>
      </c>
      <c r="M3" s="13" t="s">
        <v>74</v>
      </c>
      <c r="N3" s="14" t="s">
        <v>93</v>
      </c>
      <c r="O3" s="13" t="s">
        <v>94</v>
      </c>
      <c r="P3" s="13" t="s">
        <v>75</v>
      </c>
      <c r="Q3" s="13" t="s">
        <v>76</v>
      </c>
    </row>
    <row r="4" spans="1:17">
      <c r="I4" s="3"/>
      <c r="M4" s="12" t="s">
        <v>111</v>
      </c>
      <c r="N4" s="15">
        <f>ROUND(C$14,0)</f>
        <v>36400</v>
      </c>
      <c r="O4" s="12">
        <v>36400</v>
      </c>
      <c r="P4" s="12" t="str">
        <f>IF(N4=O4, "CORRECT", "INCORRECT")</f>
        <v>CORRECT</v>
      </c>
      <c r="Q4" s="16">
        <f>IF(N4=O4, 1,0)</f>
        <v>1</v>
      </c>
    </row>
    <row r="5" spans="1:17">
      <c r="A5" s="2" t="s">
        <v>21</v>
      </c>
      <c r="B5" s="33"/>
      <c r="C5" s="33">
        <f>'Income Statement'!C19</f>
        <v>24765</v>
      </c>
      <c r="D5" s="33">
        <f>'Income Statement'!D19</f>
        <v>26256.75</v>
      </c>
      <c r="E5" s="33">
        <f>'Income Statement'!E19</f>
        <v>23243.252500000002</v>
      </c>
      <c r="F5" s="33">
        <f>'Income Statement'!F19</f>
        <v>23930.915125</v>
      </c>
      <c r="G5" s="33">
        <f>'Income Statement'!G19</f>
        <v>26700.460881249994</v>
      </c>
      <c r="I5" s="3"/>
      <c r="M5" s="12" t="s">
        <v>112</v>
      </c>
      <c r="N5" s="15">
        <f>ROUND(D$14,0)</f>
        <v>18560</v>
      </c>
      <c r="O5" s="12">
        <v>18560</v>
      </c>
      <c r="P5" s="12" t="str">
        <f>IF(N5=O5, "CORRECT", "INCORRECT")</f>
        <v>CORRECT</v>
      </c>
      <c r="Q5" s="16">
        <f t="shared" ref="Q5:Q10" si="0">IF(N5=O5, 1,0)</f>
        <v>1</v>
      </c>
    </row>
    <row r="6" spans="1:17">
      <c r="A6" s="2" t="s">
        <v>43</v>
      </c>
      <c r="B6" s="33"/>
      <c r="C6" s="33">
        <f>'Income Statement'!C14</f>
        <v>3000</v>
      </c>
      <c r="D6" s="33">
        <f>'Income Statement'!D14</f>
        <v>3000</v>
      </c>
      <c r="E6" s="33">
        <f>'Income Statement'!E14</f>
        <v>3000</v>
      </c>
      <c r="F6" s="33">
        <f>'Income Statement'!F14</f>
        <v>3000</v>
      </c>
      <c r="G6" s="33">
        <f>'Income Statement'!G14</f>
        <v>3000</v>
      </c>
      <c r="I6" s="3"/>
      <c r="M6" s="12" t="s">
        <v>113</v>
      </c>
      <c r="N6" s="15">
        <f>ROUND(E$14,0)</f>
        <v>34621</v>
      </c>
      <c r="O6" s="12">
        <v>34621</v>
      </c>
      <c r="P6" s="12" t="str">
        <f>IF(N6=O6, "CORRECT", "INCORRECT")</f>
        <v>CORRECT</v>
      </c>
      <c r="Q6" s="16">
        <f t="shared" si="0"/>
        <v>1</v>
      </c>
    </row>
    <row r="7" spans="1:17">
      <c r="A7" s="7" t="s">
        <v>44</v>
      </c>
      <c r="B7" s="11"/>
      <c r="C7" s="11"/>
      <c r="D7" s="11"/>
      <c r="E7" s="11"/>
      <c r="F7" s="11"/>
      <c r="G7" s="11"/>
      <c r="I7" s="3"/>
      <c r="M7" s="12" t="s">
        <v>114</v>
      </c>
      <c r="N7" s="15">
        <f>ROUND(F$14,0)</f>
        <v>33501</v>
      </c>
      <c r="O7" s="17">
        <v>33501</v>
      </c>
      <c r="P7" s="12" t="str">
        <f>IF(N7=O7, "CORRECT", "INCORRECT")</f>
        <v>CORRECT</v>
      </c>
      <c r="Q7" s="16">
        <f t="shared" si="0"/>
        <v>1</v>
      </c>
    </row>
    <row r="8" spans="1:17">
      <c r="A8" s="2" t="s">
        <v>25</v>
      </c>
      <c r="B8" s="33"/>
      <c r="C8" s="33">
        <f>'Balance Sheet'!B6-'Balance Sheet'!C6</f>
        <v>-10000</v>
      </c>
      <c r="D8" s="33">
        <f>'Balance Sheet'!C6-'Balance Sheet'!D6</f>
        <v>-2000</v>
      </c>
      <c r="E8" s="33">
        <f>'Balance Sheet'!D6-'Balance Sheet'!E6</f>
        <v>4000</v>
      </c>
      <c r="F8" s="33">
        <f>'Balance Sheet'!E6-'Balance Sheet'!F6</f>
        <v>2000</v>
      </c>
      <c r="G8" s="33">
        <f>'Balance Sheet'!F6-'Balance Sheet'!G6</f>
        <v>-4000</v>
      </c>
      <c r="I8" s="3"/>
      <c r="M8" s="12" t="s">
        <v>115</v>
      </c>
      <c r="N8" s="15">
        <f>ROUND(G$14,0)</f>
        <v>35192</v>
      </c>
      <c r="O8" s="12">
        <v>35192</v>
      </c>
      <c r="P8" s="12" t="str">
        <f t="shared" ref="P8:P26" si="1">IF(N8=O8, "CORRECT", "INCORRECT")</f>
        <v>CORRECT</v>
      </c>
      <c r="Q8" s="16">
        <f t="shared" si="0"/>
        <v>1</v>
      </c>
    </row>
    <row r="9" spans="1:17">
      <c r="A9" s="2" t="s">
        <v>26</v>
      </c>
      <c r="B9" s="33"/>
      <c r="C9" s="33">
        <f>'Balance Sheet'!B7-'Balance Sheet'!C7</f>
        <v>0</v>
      </c>
      <c r="D9" s="33">
        <f>'Balance Sheet'!C7-'Balance Sheet'!D7</f>
        <v>-12000</v>
      </c>
      <c r="E9" s="33">
        <f>'Balance Sheet'!D7-'Balance Sheet'!E7</f>
        <v>4000</v>
      </c>
      <c r="F9" s="33">
        <f>'Balance Sheet'!E7-'Balance Sheet'!F7</f>
        <v>4000</v>
      </c>
      <c r="G9" s="33">
        <f>'Balance Sheet'!F7-'Balance Sheet'!G7</f>
        <v>4000</v>
      </c>
      <c r="I9" s="3"/>
      <c r="N9" s="15"/>
      <c r="Q9" s="16"/>
    </row>
    <row r="10" spans="1:17">
      <c r="A10" s="2" t="s">
        <v>30</v>
      </c>
      <c r="B10" s="33"/>
      <c r="C10" s="33">
        <f>'Balance Sheet'!C14-'Balance Sheet'!B14</f>
        <v>2000</v>
      </c>
      <c r="D10" s="33">
        <f>'Balance Sheet'!D14-'Balance Sheet'!C14</f>
        <v>2000</v>
      </c>
      <c r="E10" s="33">
        <f>'Balance Sheet'!E14-'Balance Sheet'!D14</f>
        <v>1000</v>
      </c>
      <c r="F10" s="33">
        <f>'Balance Sheet'!F14-'Balance Sheet'!E14</f>
        <v>1000</v>
      </c>
      <c r="G10" s="33">
        <f>'Balance Sheet'!G14-'Balance Sheet'!F14</f>
        <v>3000</v>
      </c>
      <c r="I10" s="3"/>
      <c r="M10" s="12" t="s">
        <v>116</v>
      </c>
      <c r="N10" s="15">
        <f>ROUND(C$19,0)</f>
        <v>-25000</v>
      </c>
      <c r="O10" s="12">
        <v>-25000</v>
      </c>
      <c r="P10" s="12" t="str">
        <f t="shared" si="1"/>
        <v>CORRECT</v>
      </c>
      <c r="Q10" s="16">
        <f t="shared" si="0"/>
        <v>1</v>
      </c>
    </row>
    <row r="11" spans="1:17">
      <c r="A11" s="2" t="s">
        <v>45</v>
      </c>
      <c r="B11" s="33"/>
      <c r="C11" s="33">
        <f>'Balance Sheet'!C15-'Balance Sheet'!B15</f>
        <v>1500</v>
      </c>
      <c r="D11" s="33">
        <f>'Balance Sheet'!D15-'Balance Sheet'!C15</f>
        <v>500</v>
      </c>
      <c r="E11" s="33">
        <f>'Balance Sheet'!E15-'Balance Sheet'!D15</f>
        <v>1000</v>
      </c>
      <c r="F11" s="33">
        <f>'Balance Sheet'!F15-'Balance Sheet'!E15</f>
        <v>1000</v>
      </c>
      <c r="G11" s="33">
        <f>'Balance Sheet'!G15-'Balance Sheet'!F15</f>
        <v>1000</v>
      </c>
      <c r="I11" s="3"/>
      <c r="M11" s="12" t="s">
        <v>117</v>
      </c>
      <c r="N11" s="15">
        <f>ROUND(D$19,0)</f>
        <v>0</v>
      </c>
      <c r="O11" s="12">
        <v>0</v>
      </c>
      <c r="P11" s="12" t="str">
        <f>IF(ISBLANK(D19),"INCORRECT",IF(D19=0,"CORRECT","INCORRECT"))</f>
        <v>CORRECT</v>
      </c>
      <c r="Q11" s="16">
        <f>IF(P11="CORRECT", 1,0)</f>
        <v>1</v>
      </c>
    </row>
    <row r="12" spans="1:17">
      <c r="A12" s="2" t="s">
        <v>69</v>
      </c>
      <c r="B12" s="33"/>
      <c r="C12" s="33">
        <f>'Balance Sheet'!C16-'Balance Sheet'!B16</f>
        <v>1800</v>
      </c>
      <c r="D12" s="33">
        <f>'Balance Sheet'!D16-'Balance Sheet'!C16</f>
        <v>0</v>
      </c>
      <c r="E12" s="33">
        <f>'Balance Sheet'!E16-'Balance Sheet'!D16</f>
        <v>0</v>
      </c>
      <c r="F12" s="33">
        <f>'Balance Sheet'!F16-'Balance Sheet'!E16</f>
        <v>-1800</v>
      </c>
      <c r="G12" s="33">
        <f>'Balance Sheet'!G16-'Balance Sheet'!F16</f>
        <v>0</v>
      </c>
      <c r="I12" s="3"/>
      <c r="M12" s="12" t="s">
        <v>118</v>
      </c>
      <c r="N12" s="15">
        <f>ROUND(E$19,0)</f>
        <v>0</v>
      </c>
      <c r="O12" s="12">
        <v>0</v>
      </c>
      <c r="P12" s="12" t="str">
        <f>IF(ISBLANK(E19),"INCORRECT",IF(E19=0,"CORRECT","INCORRECT"))</f>
        <v>CORRECT</v>
      </c>
      <c r="Q12" s="16">
        <f t="shared" ref="Q12:Q14" si="2">IF(P12="CORRECT", 1,0)</f>
        <v>1</v>
      </c>
    </row>
    <row r="13" spans="1:17">
      <c r="A13" s="2" t="s">
        <v>52</v>
      </c>
      <c r="B13" s="33"/>
      <c r="C13" s="33">
        <f>'Balance Sheet'!C17-'Balance Sheet'!B17</f>
        <v>13335</v>
      </c>
      <c r="D13" s="33">
        <f>'Balance Sheet'!D17-'Balance Sheet'!C17</f>
        <v>803.25</v>
      </c>
      <c r="E13" s="33">
        <f>'Balance Sheet'!E17-'Balance Sheet'!D17</f>
        <v>-1622.652500000002</v>
      </c>
      <c r="F13" s="33">
        <f>'Balance Sheet'!F17-'Balance Sheet'!E17</f>
        <v>370.27987500000017</v>
      </c>
      <c r="G13" s="33">
        <f>'Balance Sheet'!G17-'Balance Sheet'!F17</f>
        <v>1491.2938687499973</v>
      </c>
      <c r="I13" s="3"/>
      <c r="M13" s="12" t="s">
        <v>119</v>
      </c>
      <c r="N13" s="15">
        <f>ROUND(F$19,0)</f>
        <v>0</v>
      </c>
      <c r="O13" s="12">
        <v>0</v>
      </c>
      <c r="P13" s="12" t="str">
        <f>IF(ISBLANK(F19),"INCORRECT",IF(F19=0,"CORRECT","INCORRECT"))</f>
        <v>CORRECT</v>
      </c>
      <c r="Q13" s="16">
        <f t="shared" si="2"/>
        <v>1</v>
      </c>
    </row>
    <row r="14" spans="1:17">
      <c r="A14" s="7" t="s">
        <v>46</v>
      </c>
      <c r="B14" s="34">
        <f>SUM(B5:B6,B8,B9,B10,B11,B13)</f>
        <v>0</v>
      </c>
      <c r="C14" s="35">
        <f>SUM(C5:C13)</f>
        <v>36400</v>
      </c>
      <c r="D14" s="35">
        <f t="shared" ref="D14:G14" si="3">SUM(D5:D13)</f>
        <v>18560</v>
      </c>
      <c r="E14" s="35">
        <f t="shared" si="3"/>
        <v>34620.6</v>
      </c>
      <c r="F14" s="35">
        <f t="shared" si="3"/>
        <v>33501.195</v>
      </c>
      <c r="G14" s="35">
        <f t="shared" si="3"/>
        <v>35191.754749999993</v>
      </c>
      <c r="I14" s="3"/>
      <c r="M14" s="12" t="s">
        <v>120</v>
      </c>
      <c r="N14" s="15">
        <f>ROUND(G$19,0)</f>
        <v>0</v>
      </c>
      <c r="O14" s="12">
        <v>0</v>
      </c>
      <c r="P14" s="12" t="str">
        <f>IF(ISBLANK(G19),"INCORRECT",IF(G19=0,"CORRECT","INCORRECT"))</f>
        <v>CORRECT</v>
      </c>
      <c r="Q14" s="16">
        <f t="shared" si="2"/>
        <v>1</v>
      </c>
    </row>
    <row r="15" spans="1:17">
      <c r="B15" s="11"/>
      <c r="C15" s="11"/>
      <c r="D15" s="11"/>
      <c r="E15" s="11"/>
      <c r="F15" s="11"/>
      <c r="G15" s="11"/>
      <c r="I15" s="3"/>
      <c r="N15" s="15"/>
      <c r="Q15" s="16"/>
    </row>
    <row r="16" spans="1:17">
      <c r="B16" s="11"/>
      <c r="C16" s="11"/>
      <c r="D16" s="11"/>
      <c r="E16" s="11"/>
      <c r="F16" s="11"/>
      <c r="G16" s="11"/>
      <c r="I16" s="3"/>
      <c r="M16" s="12" t="s">
        <v>121</v>
      </c>
      <c r="N16" s="15">
        <f>ROUND(C$25,0)</f>
        <v>60000</v>
      </c>
      <c r="O16" s="15">
        <v>60000</v>
      </c>
      <c r="P16" s="12" t="str">
        <f t="shared" si="1"/>
        <v>CORRECT</v>
      </c>
      <c r="Q16" s="16">
        <f t="shared" ref="Q16:Q26" si="4">IF(N16=O16, 1,0)</f>
        <v>1</v>
      </c>
    </row>
    <row r="17" spans="1:17">
      <c r="A17" s="2" t="s">
        <v>47</v>
      </c>
      <c r="B17" s="33"/>
      <c r="C17" s="33">
        <v>-10000</v>
      </c>
      <c r="D17" s="33">
        <v>0</v>
      </c>
      <c r="E17" s="33">
        <v>0</v>
      </c>
      <c r="F17" s="33">
        <v>0</v>
      </c>
      <c r="G17" s="33">
        <v>0</v>
      </c>
      <c r="I17" s="3"/>
      <c r="M17" s="12" t="s">
        <v>122</v>
      </c>
      <c r="N17" s="15">
        <f>ROUND(D$25,0)</f>
        <v>-20000</v>
      </c>
      <c r="O17" s="15">
        <v>-20000</v>
      </c>
      <c r="P17" s="12" t="str">
        <f t="shared" si="1"/>
        <v>CORRECT</v>
      </c>
      <c r="Q17" s="16">
        <f t="shared" si="4"/>
        <v>1</v>
      </c>
    </row>
    <row r="18" spans="1:17">
      <c r="A18" s="2" t="s">
        <v>70</v>
      </c>
      <c r="B18" s="33"/>
      <c r="C18" s="33">
        <v>-15000</v>
      </c>
      <c r="D18" s="33">
        <v>0</v>
      </c>
      <c r="E18" s="33">
        <v>0</v>
      </c>
      <c r="F18" s="33">
        <v>0</v>
      </c>
      <c r="G18" s="33">
        <v>0</v>
      </c>
      <c r="I18" s="3"/>
      <c r="M18" s="12" t="s">
        <v>123</v>
      </c>
      <c r="N18" s="15">
        <f>ROUND(E$25,0)</f>
        <v>-10000</v>
      </c>
      <c r="O18" s="15">
        <v>-10000</v>
      </c>
      <c r="P18" s="12" t="str">
        <f t="shared" si="1"/>
        <v>CORRECT</v>
      </c>
      <c r="Q18" s="16">
        <f t="shared" si="4"/>
        <v>1</v>
      </c>
    </row>
    <row r="19" spans="1:17">
      <c r="A19" s="7" t="s">
        <v>48</v>
      </c>
      <c r="B19" s="34">
        <f t="shared" ref="B19" si="5">SUM(B17:B18)</f>
        <v>0</v>
      </c>
      <c r="C19" s="35">
        <v>-25000</v>
      </c>
      <c r="D19" s="35">
        <v>0</v>
      </c>
      <c r="E19" s="35">
        <v>0</v>
      </c>
      <c r="F19" s="35">
        <v>0</v>
      </c>
      <c r="G19" s="35">
        <v>0</v>
      </c>
      <c r="I19" s="3"/>
      <c r="M19" s="12" t="s">
        <v>124</v>
      </c>
      <c r="N19" s="15">
        <f>ROUND(F$25,0)</f>
        <v>-20000</v>
      </c>
      <c r="O19" s="15">
        <v>-20000</v>
      </c>
      <c r="P19" s="12" t="str">
        <f t="shared" si="1"/>
        <v>CORRECT</v>
      </c>
      <c r="Q19" s="16">
        <f t="shared" si="4"/>
        <v>1</v>
      </c>
    </row>
    <row r="20" spans="1:17">
      <c r="B20" s="11"/>
      <c r="C20" s="11"/>
      <c r="D20" s="11"/>
      <c r="E20" s="11"/>
      <c r="F20" s="11"/>
      <c r="G20" s="11"/>
      <c r="I20" s="3"/>
      <c r="M20" s="12" t="s">
        <v>125</v>
      </c>
      <c r="N20" s="15">
        <f>ROUND(G$225,0)</f>
        <v>0</v>
      </c>
      <c r="O20" s="15">
        <v>0</v>
      </c>
      <c r="P20" s="12" t="str">
        <f>IF(ISBLANK(G25),"INCORRECT",IF(G25=0,"CORRECT","INCORRECT"))</f>
        <v>CORRECT</v>
      </c>
      <c r="Q20" s="16">
        <f t="shared" ref="Q20" si="6">IF(P20="CORRECT", 1,0)</f>
        <v>1</v>
      </c>
    </row>
    <row r="21" spans="1:17">
      <c r="B21" s="11"/>
      <c r="C21" s="11"/>
      <c r="D21" s="11"/>
      <c r="E21" s="11"/>
      <c r="F21" s="11"/>
      <c r="G21" s="11"/>
      <c r="I21" s="3"/>
      <c r="Q21" s="16"/>
    </row>
    <row r="22" spans="1:17">
      <c r="A22" s="2" t="s">
        <v>49</v>
      </c>
      <c r="B22" s="33"/>
      <c r="C22" s="33">
        <f>'Balance Sheet'!C19-'Balance Sheet'!B19</f>
        <v>60000</v>
      </c>
      <c r="D22" s="33">
        <v>0</v>
      </c>
      <c r="E22" s="33">
        <v>0</v>
      </c>
      <c r="F22" s="33">
        <v>0</v>
      </c>
      <c r="G22" s="33">
        <v>0</v>
      </c>
      <c r="I22" s="3"/>
      <c r="M22" s="12" t="s">
        <v>126</v>
      </c>
      <c r="N22" s="15">
        <f>ROUND(C$29,0)</f>
        <v>101400</v>
      </c>
      <c r="O22" s="15">
        <v>101400</v>
      </c>
      <c r="P22" s="12" t="str">
        <f t="shared" si="1"/>
        <v>CORRECT</v>
      </c>
      <c r="Q22" s="16">
        <f t="shared" si="4"/>
        <v>1</v>
      </c>
    </row>
    <row r="23" spans="1:17">
      <c r="A23" s="2" t="s">
        <v>50</v>
      </c>
      <c r="B23" s="33"/>
      <c r="C23" s="33"/>
      <c r="D23" s="33">
        <f>'Balance Sheet'!D23-'Balance Sheet'!C23</f>
        <v>0</v>
      </c>
      <c r="E23" s="33">
        <f>'Balance Sheet'!E23-'Balance Sheet'!D23</f>
        <v>10000</v>
      </c>
      <c r="F23" s="33">
        <f>'Balance Sheet'!F23-'Balance Sheet'!E23</f>
        <v>0</v>
      </c>
      <c r="G23" s="33">
        <f>'Balance Sheet'!G23-'Balance Sheet'!F23</f>
        <v>0</v>
      </c>
      <c r="I23" s="3"/>
      <c r="M23" s="12" t="s">
        <v>127</v>
      </c>
      <c r="N23" s="15">
        <f>ROUND(D$29,0)</f>
        <v>99960</v>
      </c>
      <c r="O23" s="15">
        <v>99960</v>
      </c>
      <c r="P23" s="12" t="str">
        <f t="shared" si="1"/>
        <v>CORRECT</v>
      </c>
      <c r="Q23" s="16">
        <f t="shared" si="4"/>
        <v>1</v>
      </c>
    </row>
    <row r="24" spans="1:17">
      <c r="A24" s="2" t="s">
        <v>51</v>
      </c>
      <c r="B24" s="33"/>
      <c r="C24" s="33">
        <v>0</v>
      </c>
      <c r="D24" s="33">
        <f>'Balance Sheet'!D19-'Balance Sheet'!C19</f>
        <v>-20000</v>
      </c>
      <c r="E24" s="33">
        <f>'Balance Sheet'!E19-'Balance Sheet'!D19</f>
        <v>-20000</v>
      </c>
      <c r="F24" s="33">
        <f>'Balance Sheet'!F19-'Balance Sheet'!E19</f>
        <v>-20000</v>
      </c>
      <c r="G24" s="33">
        <f>'Balance Sheet'!G19-'Balance Sheet'!F19</f>
        <v>0</v>
      </c>
      <c r="I24" s="3"/>
      <c r="M24" s="12" t="s">
        <v>128</v>
      </c>
      <c r="N24" s="15">
        <f>ROUND(E$29,0)</f>
        <v>124581</v>
      </c>
      <c r="O24" s="15">
        <v>124581</v>
      </c>
      <c r="P24" s="12" t="str">
        <f t="shared" si="1"/>
        <v>CORRECT</v>
      </c>
      <c r="Q24" s="16">
        <f t="shared" si="4"/>
        <v>1</v>
      </c>
    </row>
    <row r="25" spans="1:17">
      <c r="A25" s="7" t="s">
        <v>53</v>
      </c>
      <c r="B25" s="34">
        <f>SUM(B22:B24)</f>
        <v>0</v>
      </c>
      <c r="C25" s="35">
        <f>SUM(C22:C24)</f>
        <v>60000</v>
      </c>
      <c r="D25" s="35">
        <f t="shared" ref="D25:G25" si="7">SUM(D22:D24)</f>
        <v>-20000</v>
      </c>
      <c r="E25" s="35">
        <f t="shared" si="7"/>
        <v>-10000</v>
      </c>
      <c r="F25" s="35">
        <f t="shared" si="7"/>
        <v>-20000</v>
      </c>
      <c r="G25" s="35">
        <f t="shared" si="7"/>
        <v>0</v>
      </c>
      <c r="I25" s="3"/>
      <c r="M25" s="12" t="s">
        <v>129</v>
      </c>
      <c r="N25" s="15">
        <f>ROUND(F$29,0)</f>
        <v>138082</v>
      </c>
      <c r="O25" s="15">
        <v>138082</v>
      </c>
      <c r="P25" s="12" t="str">
        <f t="shared" si="1"/>
        <v>CORRECT</v>
      </c>
      <c r="Q25" s="16">
        <f t="shared" si="4"/>
        <v>1</v>
      </c>
    </row>
    <row r="26" spans="1:17" ht="15.75" thickBot="1">
      <c r="B26" s="11"/>
      <c r="C26" s="11"/>
      <c r="D26" s="11"/>
      <c r="E26" s="11"/>
      <c r="F26" s="11"/>
      <c r="G26" s="11"/>
      <c r="I26" s="3"/>
      <c r="M26" s="18" t="s">
        <v>130</v>
      </c>
      <c r="N26" s="19">
        <f>ROUND(G$29,0)</f>
        <v>173274</v>
      </c>
      <c r="O26" s="19">
        <v>173274</v>
      </c>
      <c r="P26" s="18" t="str">
        <f t="shared" si="1"/>
        <v>CORRECT</v>
      </c>
      <c r="Q26" s="20">
        <f t="shared" si="4"/>
        <v>1</v>
      </c>
    </row>
    <row r="27" spans="1:17">
      <c r="A27" s="7" t="s">
        <v>56</v>
      </c>
      <c r="B27" s="27">
        <f t="shared" ref="B27" si="8">B14+B19+B25</f>
        <v>0</v>
      </c>
      <c r="C27" s="27">
        <f>C14+C19+C25</f>
        <v>71400</v>
      </c>
      <c r="D27" s="27">
        <f t="shared" ref="D27:G27" si="9">D14+D19+D25</f>
        <v>-1440</v>
      </c>
      <c r="E27" s="27">
        <f t="shared" si="9"/>
        <v>24620.6</v>
      </c>
      <c r="F27" s="27">
        <f t="shared" si="9"/>
        <v>13501.195</v>
      </c>
      <c r="G27" s="27">
        <f t="shared" si="9"/>
        <v>35191.754749999993</v>
      </c>
      <c r="I27" s="3"/>
      <c r="P27" s="12" t="s">
        <v>105</v>
      </c>
      <c r="Q27" s="21">
        <f>SUM(Q4:Q26)</f>
        <v>20</v>
      </c>
    </row>
    <row r="28" spans="1:17">
      <c r="A28" s="2" t="s">
        <v>54</v>
      </c>
      <c r="B28" s="33"/>
      <c r="C28" s="33">
        <v>30000</v>
      </c>
      <c r="D28" s="33">
        <f>C29</f>
        <v>101400</v>
      </c>
      <c r="E28" s="33">
        <f t="shared" ref="E28:G28" si="10">D29</f>
        <v>99960</v>
      </c>
      <c r="F28" s="33">
        <f t="shared" si="10"/>
        <v>124580.6</v>
      </c>
      <c r="G28" s="33">
        <f t="shared" si="10"/>
        <v>138081.79500000001</v>
      </c>
      <c r="I28" s="3"/>
    </row>
    <row r="29" spans="1:17" ht="15.75" thickBot="1">
      <c r="A29" s="7" t="s">
        <v>55</v>
      </c>
      <c r="B29" s="36">
        <f>B27+B28</f>
        <v>0</v>
      </c>
      <c r="C29" s="37">
        <f>C27+C28</f>
        <v>101400</v>
      </c>
      <c r="D29" s="37">
        <f t="shared" ref="D29" si="11">D27+D28</f>
        <v>99960</v>
      </c>
      <c r="E29" s="37">
        <f t="shared" ref="E29" si="12">E27+E28</f>
        <v>124580.6</v>
      </c>
      <c r="F29" s="37">
        <f t="shared" ref="F29" si="13">F27+F28</f>
        <v>138081.79500000001</v>
      </c>
      <c r="G29" s="37">
        <f t="shared" ref="G29" si="14">G27+G28</f>
        <v>173273.54975000001</v>
      </c>
      <c r="I29" s="3"/>
    </row>
    <row r="30" spans="1:17">
      <c r="I30" s="3"/>
    </row>
    <row r="31" spans="1:17">
      <c r="I31" s="3"/>
    </row>
    <row r="32" spans="1:17">
      <c r="I32" s="3"/>
    </row>
    <row r="33" spans="9:9">
      <c r="I33" s="3"/>
    </row>
    <row r="34" spans="9:9">
      <c r="I34" s="3"/>
    </row>
    <row r="35" spans="9:9">
      <c r="I35" s="3"/>
    </row>
    <row r="36" spans="9:9">
      <c r="I36" s="3"/>
    </row>
    <row r="37" spans="9:9">
      <c r="I37" s="3"/>
    </row>
    <row r="38" spans="9:9">
      <c r="I38" s="3"/>
    </row>
    <row r="39" spans="9:9">
      <c r="I39" s="3"/>
    </row>
    <row r="40" spans="9:9">
      <c r="I40" s="3"/>
    </row>
  </sheetData>
  <sheetProtection sheet="1" objects="1" scenarios="1" formatCells="0" formatColumns="0" formatRows="0" selectLockedCells="1"/>
  <mergeCells count="2">
    <mergeCell ref="A1:H1"/>
    <mergeCell ref="M1:Q1"/>
  </mergeCells>
  <conditionalFormatting sqref="P4:P26">
    <cfRule type="cellIs" dxfId="1" priority="1" operator="equal">
      <formula>"incorrect"</formula>
    </cfRule>
    <cfRule type="cellIs" dxfId="0" priority="2" operator="equal">
      <formula>"correct"</formula>
    </cfRule>
  </conditionalFormatting>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dimension ref="A1:P57"/>
  <sheetViews>
    <sheetView tabSelected="1" workbookViewId="0">
      <selection activeCell="I23" sqref="I23"/>
    </sheetView>
  </sheetViews>
  <sheetFormatPr defaultRowHeight="15"/>
  <cols>
    <col min="1" max="1" width="36.28515625" style="2" bestFit="1" customWidth="1"/>
    <col min="2" max="2" width="4.5703125" style="2" customWidth="1"/>
    <col min="3" max="7" width="12.5703125" style="2" bestFit="1" customWidth="1"/>
    <col min="8" max="8" width="9.140625" style="2"/>
    <col min="9" max="9" width="27.28515625" style="2" customWidth="1"/>
    <col min="10" max="10" width="3.140625" style="2" customWidth="1"/>
    <col min="11" max="11" width="43.85546875" style="2" customWidth="1"/>
    <col min="12" max="12" width="2.5703125" style="2" customWidth="1"/>
    <col min="13" max="13" width="22" style="12" bestFit="1" customWidth="1"/>
    <col min="14" max="15" width="10.85546875" style="12" hidden="1" customWidth="1"/>
    <col min="16" max="16" width="18.85546875" style="12" bestFit="1" customWidth="1"/>
    <col min="17" max="16384" width="9.140625" style="2"/>
  </cols>
  <sheetData>
    <row r="1" spans="1:16" ht="21">
      <c r="A1" s="48" t="s">
        <v>57</v>
      </c>
      <c r="B1" s="48"/>
      <c r="C1" s="48"/>
      <c r="D1" s="48"/>
      <c r="E1" s="48"/>
      <c r="F1" s="48"/>
      <c r="G1" s="48"/>
      <c r="H1" s="48"/>
      <c r="I1" s="43" t="s">
        <v>59</v>
      </c>
      <c r="J1" s="38"/>
      <c r="K1" s="43" t="s">
        <v>60</v>
      </c>
      <c r="M1" s="45" t="s">
        <v>92</v>
      </c>
      <c r="N1" s="45"/>
      <c r="O1" s="45"/>
      <c r="P1" s="45"/>
    </row>
    <row r="2" spans="1:16" ht="7.5" customHeight="1">
      <c r="A2" s="3"/>
      <c r="B2" s="3"/>
      <c r="C2" s="3"/>
      <c r="D2" s="3"/>
      <c r="E2" s="3"/>
      <c r="F2" s="3"/>
      <c r="G2" s="3"/>
      <c r="H2" s="3"/>
    </row>
    <row r="3" spans="1:16" ht="15.75">
      <c r="C3" s="4" t="s">
        <v>1</v>
      </c>
      <c r="D3" s="4" t="s">
        <v>2</v>
      </c>
      <c r="E3" s="4" t="s">
        <v>3</v>
      </c>
      <c r="F3" s="4" t="s">
        <v>4</v>
      </c>
      <c r="G3" s="4" t="s">
        <v>5</v>
      </c>
      <c r="K3" s="2" t="s">
        <v>188</v>
      </c>
      <c r="M3" s="13" t="s">
        <v>74</v>
      </c>
      <c r="N3" s="14" t="s">
        <v>93</v>
      </c>
      <c r="O3" s="13" t="s">
        <v>94</v>
      </c>
      <c r="P3" s="13" t="s">
        <v>76</v>
      </c>
    </row>
    <row r="4" spans="1:16">
      <c r="A4" s="39" t="s">
        <v>131</v>
      </c>
      <c r="I4" s="3"/>
      <c r="M4" s="12" t="s">
        <v>132</v>
      </c>
      <c r="N4" s="41">
        <f>ROUND(C$5,2)</f>
        <v>5.98</v>
      </c>
      <c r="O4" s="12">
        <v>5.98</v>
      </c>
      <c r="P4" s="16">
        <f>IF(N4=O4, 1,0)</f>
        <v>1</v>
      </c>
    </row>
    <row r="5" spans="1:16">
      <c r="A5" s="2" t="s">
        <v>58</v>
      </c>
      <c r="C5" s="40">
        <f>('Balance Sheet'!C8/'Balance Sheet'!C18)</f>
        <v>5.9779983901261069</v>
      </c>
      <c r="D5" s="40">
        <f>('Balance Sheet'!D8/'Balance Sheet'!D18)</f>
        <v>5.6504051143550651</v>
      </c>
      <c r="E5" s="40">
        <f>('Balance Sheet'!E8/'Balance Sheet'!E18)</f>
        <v>6.2996565518803624</v>
      </c>
      <c r="F5" s="40">
        <f>('Balance Sheet'!F8/'Balance Sheet'!F18)</f>
        <v>6.4704443082335636</v>
      </c>
      <c r="G5" s="40">
        <f>('Balance Sheet'!G8/'Balance Sheet'!G18)</f>
        <v>6.4584855261204224</v>
      </c>
      <c r="I5" s="3" t="s">
        <v>179</v>
      </c>
      <c r="M5" s="12" t="s">
        <v>133</v>
      </c>
      <c r="N5" s="41">
        <f>ROUND(D$5,2)</f>
        <v>5.65</v>
      </c>
      <c r="O5" s="12">
        <v>5.65</v>
      </c>
      <c r="P5" s="16">
        <f t="shared" ref="P5:P14" si="0">IF(N5=O5, 1,0)</f>
        <v>1</v>
      </c>
    </row>
    <row r="6" spans="1:16">
      <c r="A6" s="2" t="s">
        <v>61</v>
      </c>
      <c r="C6" s="40">
        <f>'Balance Sheet'!C6/('Income Statement'!C4/365)</f>
        <v>24.333333333333336</v>
      </c>
      <c r="D6" s="40">
        <f>'Balance Sheet'!D6/('Income Statement'!D4/365)</f>
        <v>28.349514563106794</v>
      </c>
      <c r="E6" s="40">
        <f>'Balance Sheet'!E6/('Income Statement'!E4/365)</f>
        <v>18.34920036447042</v>
      </c>
      <c r="F6" s="40">
        <f>'Balance Sheet'!F6/('Income Statement'!F4/365)</f>
        <v>13.106571688907442</v>
      </c>
      <c r="G6" s="40">
        <f>'Balance Sheet'!G6/('Income Statement'!G4/365)</f>
        <v>20.804082045884829</v>
      </c>
      <c r="I6" s="3" t="s">
        <v>180</v>
      </c>
      <c r="M6" s="12" t="s">
        <v>134</v>
      </c>
      <c r="N6" s="41">
        <f>ROUND(E$5,2)</f>
        <v>6.3</v>
      </c>
      <c r="O6" s="41">
        <v>6.3</v>
      </c>
      <c r="P6" s="16">
        <f t="shared" si="0"/>
        <v>1</v>
      </c>
    </row>
    <row r="7" spans="1:16">
      <c r="A7" s="2" t="s">
        <v>62</v>
      </c>
      <c r="C7" s="40">
        <f>'Income Statement'!C5/'Balance Sheet'!C14</f>
        <v>33.75</v>
      </c>
      <c r="D7" s="40">
        <f>'Income Statement'!D5/'Balance Sheet'!D14</f>
        <v>17.381250000000001</v>
      </c>
      <c r="E7" s="40">
        <f>'Income Statement'!E5/'Balance Sheet'!E14</f>
        <v>14.322150000000001</v>
      </c>
      <c r="F7" s="40">
        <f>'Income Statement'!F5/'Balance Sheet'!F14</f>
        <v>12.531881250000001</v>
      </c>
      <c r="G7" s="40">
        <f>'Income Statement'!G5/'Balance Sheet'!G14</f>
        <v>8.7723168750000013</v>
      </c>
      <c r="I7" s="3" t="s">
        <v>181</v>
      </c>
      <c r="M7" s="12" t="s">
        <v>135</v>
      </c>
      <c r="N7" s="41">
        <f>ROUND(F$5,2)</f>
        <v>6.47</v>
      </c>
      <c r="O7" s="41">
        <v>6.47</v>
      </c>
      <c r="P7" s="16">
        <f t="shared" si="0"/>
        <v>1</v>
      </c>
    </row>
    <row r="8" spans="1:16">
      <c r="A8" s="2" t="s">
        <v>63</v>
      </c>
      <c r="C8" s="40">
        <f>'Income Statement'!C4/'Balance Sheet'!C11</f>
        <v>1.1244377811094453</v>
      </c>
      <c r="D8" s="40">
        <f>'Income Statement'!D4/'Balance Sheet'!D11</f>
        <v>1.0807218802462226</v>
      </c>
      <c r="E8" s="40">
        <f>'Income Statement'!E4/'Balance Sheet'!E11</f>
        <v>1.0163136429417181</v>
      </c>
      <c r="F8" s="40">
        <f>'Income Statement'!F4/'Balance Sheet'!F11</f>
        <v>1.037309957962661</v>
      </c>
      <c r="G8" s="40">
        <f>'Income Statement'!G4/'Balance Sheet'!G11</f>
        <v>0.90776175905570333</v>
      </c>
      <c r="I8" s="3" t="s">
        <v>182</v>
      </c>
      <c r="M8" s="12" t="s">
        <v>136</v>
      </c>
      <c r="N8" s="41">
        <f>ROUND(G$5,2)</f>
        <v>6.46</v>
      </c>
      <c r="O8" s="12">
        <v>6.46</v>
      </c>
      <c r="P8" s="16">
        <f t="shared" si="0"/>
        <v>1</v>
      </c>
    </row>
    <row r="9" spans="1:16">
      <c r="A9" s="2" t="s">
        <v>64</v>
      </c>
      <c r="C9" s="40">
        <f>'Balance Sheet'!C20/'Balance Sheet'!C11</f>
        <v>0.58946776611694152</v>
      </c>
      <c r="D9" s="40">
        <f>'Balance Sheet'!D20/'Balance Sheet'!D11</f>
        <v>0.43325580581980971</v>
      </c>
      <c r="E9" s="40">
        <f>'Balance Sheet'!E20/'Balance Sheet'!E11</f>
        <v>0.2702480224242339</v>
      </c>
      <c r="F9" s="40">
        <f>'Balance Sheet'!F20/'Balance Sheet'!F11</f>
        <v>0.14207612582787518</v>
      </c>
      <c r="G9" s="40">
        <f>'Balance Sheet'!G20/'Balance Sheet'!G11</f>
        <v>0.14682387362603916</v>
      </c>
      <c r="I9" s="3" t="s">
        <v>183</v>
      </c>
      <c r="N9" s="15"/>
      <c r="P9" s="16"/>
    </row>
    <row r="10" spans="1:16">
      <c r="A10" s="2" t="s">
        <v>65</v>
      </c>
      <c r="C10" s="40">
        <f>('Income Statement'!C19+'Income Statement'!C16+'Income Statement'!C18)/'Income Statement'!C16</f>
        <v>22.166666666666668</v>
      </c>
      <c r="D10" s="40">
        <f>('Income Statement'!D19+'Income Statement'!D18+'Income Statement'!D16)/'Income Statement'!D16</f>
        <v>23.441666666666666</v>
      </c>
      <c r="E10" s="40">
        <f>('Income Statement'!E19+'Income Statement'!E18+'Income Statement'!E16)/'Income Statement'!E16</f>
        <v>20.866027777777777</v>
      </c>
      <c r="F10" s="40">
        <v>0</v>
      </c>
      <c r="G10" s="40">
        <v>0</v>
      </c>
      <c r="I10" s="3" t="s">
        <v>184</v>
      </c>
      <c r="M10" s="12" t="s">
        <v>137</v>
      </c>
      <c r="N10" s="41">
        <f>ROUND(C$6,2)</f>
        <v>24.33</v>
      </c>
      <c r="O10" s="41">
        <v>24.33</v>
      </c>
      <c r="P10" s="16">
        <f t="shared" si="0"/>
        <v>1</v>
      </c>
    </row>
    <row r="11" spans="1:16">
      <c r="A11" s="2" t="s">
        <v>66</v>
      </c>
      <c r="C11" s="40">
        <f>'Income Statement'!C6/'Income Statement'!C4</f>
        <v>0.55000000000000004</v>
      </c>
      <c r="D11" s="40">
        <f>'Income Statement'!D6/'Income Statement'!D4</f>
        <v>0.55000000000000004</v>
      </c>
      <c r="E11" s="40">
        <f>'Income Statement'!E6/'Income Statement'!E4</f>
        <v>0.55000000000000004</v>
      </c>
      <c r="F11" s="40">
        <f>'Income Statement'!F6/'Income Statement'!F4</f>
        <v>0.54999999999999993</v>
      </c>
      <c r="G11" s="40">
        <f>'Income Statement'!G6/'Income Statement'!G4</f>
        <v>0.54999999999999993</v>
      </c>
      <c r="I11" s="3" t="s">
        <v>185</v>
      </c>
      <c r="M11" s="12" t="s">
        <v>138</v>
      </c>
      <c r="N11" s="41">
        <f>ROUND(D$6,2)</f>
        <v>28.35</v>
      </c>
      <c r="O11" s="41">
        <v>28.35</v>
      </c>
      <c r="P11" s="16">
        <f t="shared" si="0"/>
        <v>1</v>
      </c>
    </row>
    <row r="12" spans="1:16">
      <c r="A12" s="2" t="s">
        <v>67</v>
      </c>
      <c r="C12" s="40">
        <f>'Income Statement'!C19/'Income Statement'!C4</f>
        <v>0.1651</v>
      </c>
      <c r="D12" s="40">
        <f>'Income Statement'!D19/'Income Statement'!D4</f>
        <v>0.16994660194174757</v>
      </c>
      <c r="E12" s="40">
        <f>'Income Statement'!E19/'Income Statement'!E4</f>
        <v>0.14605996480975275</v>
      </c>
      <c r="F12" s="40">
        <f>'Income Statement'!F19/'Income Statement'!F4</f>
        <v>0.14322020761048945</v>
      </c>
      <c r="G12" s="40">
        <f>'Income Statement'!G19/'Income Statement'!G4</f>
        <v>0.15218591200998993</v>
      </c>
      <c r="I12" s="3" t="s">
        <v>186</v>
      </c>
      <c r="M12" s="12" t="s">
        <v>139</v>
      </c>
      <c r="N12" s="41">
        <f>ROUND(E$6,2)</f>
        <v>18.350000000000001</v>
      </c>
      <c r="O12" s="41">
        <v>18.350000000000001</v>
      </c>
      <c r="P12" s="16">
        <f t="shared" si="0"/>
        <v>1</v>
      </c>
    </row>
    <row r="13" spans="1:16">
      <c r="A13" s="2" t="s">
        <v>68</v>
      </c>
      <c r="C13" s="40">
        <f>'Income Statement'!C19/'Balance Sheet'!C25</f>
        <v>0.45220487537660914</v>
      </c>
      <c r="D13" s="40">
        <f>'Income Statement'!D19/'Balance Sheet'!D25</f>
        <v>0.32407038850678982</v>
      </c>
      <c r="E13" s="40">
        <f>'Income Statement'!E19/'Balance Sheet'!E25</f>
        <v>0.20341532395275624</v>
      </c>
      <c r="F13" s="40">
        <f>'Income Statement'!F19/'Balance Sheet'!F25</f>
        <v>0.17316658506467222</v>
      </c>
      <c r="G13" s="40">
        <f>'Income Statement'!G19/'Balance Sheet'!G25</f>
        <v>0.16192266393672181</v>
      </c>
      <c r="I13" s="3" t="s">
        <v>187</v>
      </c>
      <c r="M13" s="12" t="s">
        <v>140</v>
      </c>
      <c r="N13" s="41">
        <f>ROUND(F$6,2)</f>
        <v>13.11</v>
      </c>
      <c r="O13" s="41">
        <v>13.11</v>
      </c>
      <c r="P13" s="16">
        <f t="shared" si="0"/>
        <v>1</v>
      </c>
    </row>
    <row r="14" spans="1:16">
      <c r="I14" s="3"/>
      <c r="M14" s="12" t="s">
        <v>141</v>
      </c>
      <c r="N14" s="41">
        <f>ROUND(G$6,2)</f>
        <v>20.8</v>
      </c>
      <c r="O14" s="41">
        <v>20.8</v>
      </c>
      <c r="P14" s="16">
        <f t="shared" si="0"/>
        <v>1</v>
      </c>
    </row>
    <row r="15" spans="1:16">
      <c r="I15" s="3"/>
      <c r="N15" s="41"/>
      <c r="O15" s="41"/>
      <c r="P15" s="16"/>
    </row>
    <row r="16" spans="1:16">
      <c r="I16" s="3"/>
      <c r="M16" s="12" t="s">
        <v>142</v>
      </c>
      <c r="N16" s="41">
        <f>ROUND(C$7,2)</f>
        <v>33.75</v>
      </c>
      <c r="O16" s="41">
        <v>33.75</v>
      </c>
      <c r="P16" s="16">
        <f t="shared" ref="P16:P20" si="1">IF(N16=O16, 1,0)</f>
        <v>1</v>
      </c>
    </row>
    <row r="17" spans="9:16">
      <c r="I17" s="3"/>
      <c r="M17" s="12" t="s">
        <v>143</v>
      </c>
      <c r="N17" s="41">
        <f>ROUND(D$7,2)</f>
        <v>17.38</v>
      </c>
      <c r="O17" s="41">
        <v>17.38</v>
      </c>
      <c r="P17" s="16">
        <f t="shared" si="1"/>
        <v>1</v>
      </c>
    </row>
    <row r="18" spans="9:16">
      <c r="I18" s="3"/>
      <c r="M18" s="12" t="s">
        <v>144</v>
      </c>
      <c r="N18" s="41">
        <f>ROUND(E$7,2)</f>
        <v>14.32</v>
      </c>
      <c r="O18" s="41">
        <v>14.32</v>
      </c>
      <c r="P18" s="16">
        <f t="shared" si="1"/>
        <v>1</v>
      </c>
    </row>
    <row r="19" spans="9:16">
      <c r="I19" s="3"/>
      <c r="M19" s="12" t="s">
        <v>145</v>
      </c>
      <c r="N19" s="41">
        <f>ROUND(F$7,2)</f>
        <v>12.53</v>
      </c>
      <c r="O19" s="41">
        <v>12.53</v>
      </c>
      <c r="P19" s="16">
        <f t="shared" si="1"/>
        <v>1</v>
      </c>
    </row>
    <row r="20" spans="9:16">
      <c r="I20" s="3"/>
      <c r="M20" s="12" t="s">
        <v>146</v>
      </c>
      <c r="N20" s="41">
        <f>ROUND(G$7,2)</f>
        <v>8.77</v>
      </c>
      <c r="O20" s="41">
        <v>8.77</v>
      </c>
      <c r="P20" s="16">
        <f t="shared" si="1"/>
        <v>1</v>
      </c>
    </row>
    <row r="21" spans="9:16">
      <c r="I21" s="3"/>
      <c r="N21" s="41"/>
      <c r="O21" s="41"/>
      <c r="P21" s="16"/>
    </row>
    <row r="22" spans="9:16">
      <c r="I22" s="3"/>
      <c r="M22" s="12" t="s">
        <v>147</v>
      </c>
      <c r="N22" s="41">
        <f>ROUND(C$8,2)</f>
        <v>1.1200000000000001</v>
      </c>
      <c r="O22" s="41">
        <v>1.1200000000000001</v>
      </c>
      <c r="P22" s="16">
        <f t="shared" ref="P22:P26" si="2">IF(N22=O22, 1,0)</f>
        <v>1</v>
      </c>
    </row>
    <row r="23" spans="9:16">
      <c r="I23" s="3"/>
      <c r="M23" s="12" t="s">
        <v>148</v>
      </c>
      <c r="N23" s="41">
        <f>ROUND(D$8,2)</f>
        <v>1.08</v>
      </c>
      <c r="O23" s="41">
        <v>1.08</v>
      </c>
      <c r="P23" s="16">
        <f t="shared" si="2"/>
        <v>1</v>
      </c>
    </row>
    <row r="24" spans="9:16">
      <c r="I24" s="3"/>
      <c r="M24" s="12" t="s">
        <v>149</v>
      </c>
      <c r="N24" s="41">
        <f>ROUND(E$8,2)</f>
        <v>1.02</v>
      </c>
      <c r="O24" s="41">
        <v>1.02</v>
      </c>
      <c r="P24" s="16">
        <f t="shared" si="2"/>
        <v>1</v>
      </c>
    </row>
    <row r="25" spans="9:16">
      <c r="I25" s="3"/>
      <c r="M25" s="12" t="s">
        <v>150</v>
      </c>
      <c r="N25" s="41">
        <f>ROUND(F$8,2)</f>
        <v>1.04</v>
      </c>
      <c r="O25" s="41">
        <v>1.04</v>
      </c>
      <c r="P25" s="16">
        <f t="shared" si="2"/>
        <v>1</v>
      </c>
    </row>
    <row r="26" spans="9:16">
      <c r="I26" s="3"/>
      <c r="M26" s="12" t="s">
        <v>151</v>
      </c>
      <c r="N26" s="41">
        <f>ROUND(G$8,2)</f>
        <v>0.91</v>
      </c>
      <c r="O26" s="41">
        <v>0.91</v>
      </c>
      <c r="P26" s="16">
        <f t="shared" si="2"/>
        <v>1</v>
      </c>
    </row>
    <row r="27" spans="9:16">
      <c r="I27" s="3"/>
      <c r="P27" s="21"/>
    </row>
    <row r="28" spans="9:16">
      <c r="I28" s="3"/>
      <c r="M28" s="12" t="s">
        <v>152</v>
      </c>
      <c r="N28" s="41">
        <f>ROUND(C$9,2)</f>
        <v>0.59</v>
      </c>
      <c r="O28" s="41">
        <v>0.59</v>
      </c>
      <c r="P28" s="16">
        <f t="shared" ref="P28:P32" si="3">IF(N28=O28, 1,0)</f>
        <v>1</v>
      </c>
    </row>
    <row r="29" spans="9:16">
      <c r="I29" s="3"/>
      <c r="M29" s="12" t="s">
        <v>153</v>
      </c>
      <c r="N29" s="41">
        <f>ROUND(D$9,2)</f>
        <v>0.43</v>
      </c>
      <c r="O29" s="41">
        <v>0.43</v>
      </c>
      <c r="P29" s="16">
        <f t="shared" si="3"/>
        <v>1</v>
      </c>
    </row>
    <row r="30" spans="9:16">
      <c r="I30" s="3"/>
      <c r="M30" s="12" t="s">
        <v>154</v>
      </c>
      <c r="N30" s="41">
        <f>ROUND(E$9,2)</f>
        <v>0.27</v>
      </c>
      <c r="O30" s="41">
        <v>0.27</v>
      </c>
      <c r="P30" s="16">
        <f t="shared" si="3"/>
        <v>1</v>
      </c>
    </row>
    <row r="31" spans="9:16">
      <c r="I31" s="3"/>
      <c r="M31" s="12" t="s">
        <v>155</v>
      </c>
      <c r="N31" s="41">
        <f>ROUND(F$9,2)</f>
        <v>0.14000000000000001</v>
      </c>
      <c r="O31" s="41">
        <v>0.14000000000000001</v>
      </c>
      <c r="P31" s="16">
        <f t="shared" si="3"/>
        <v>1</v>
      </c>
    </row>
    <row r="32" spans="9:16">
      <c r="I32" s="3"/>
      <c r="M32" s="12" t="s">
        <v>156</v>
      </c>
      <c r="N32" s="41">
        <f>ROUND(G$9,2)</f>
        <v>0.15</v>
      </c>
      <c r="O32" s="41">
        <v>0.15</v>
      </c>
      <c r="P32" s="16">
        <f t="shared" si="3"/>
        <v>1</v>
      </c>
    </row>
    <row r="33" spans="9:16">
      <c r="I33" s="3"/>
    </row>
    <row r="34" spans="9:16">
      <c r="I34" s="3"/>
      <c r="M34" s="12" t="s">
        <v>157</v>
      </c>
      <c r="N34" s="41">
        <f>ROUND(C$10,2)</f>
        <v>22.17</v>
      </c>
      <c r="O34" s="41">
        <v>22.17</v>
      </c>
      <c r="P34" s="16">
        <f t="shared" ref="P34:P36" si="4">IF(N34=O34, 1,0)</f>
        <v>1</v>
      </c>
    </row>
    <row r="35" spans="9:16">
      <c r="I35" s="3"/>
      <c r="M35" s="12" t="s">
        <v>158</v>
      </c>
      <c r="N35" s="41">
        <f>ROUND(D$10,2)</f>
        <v>23.44</v>
      </c>
      <c r="O35" s="41">
        <v>23.44</v>
      </c>
      <c r="P35" s="16">
        <f t="shared" si="4"/>
        <v>1</v>
      </c>
    </row>
    <row r="36" spans="9:16">
      <c r="I36" s="3"/>
      <c r="M36" s="12" t="s">
        <v>159</v>
      </c>
      <c r="N36" s="41">
        <f>ROUND(E$10,2)</f>
        <v>20.87</v>
      </c>
      <c r="O36" s="41">
        <v>20.87</v>
      </c>
      <c r="P36" s="16">
        <f t="shared" si="4"/>
        <v>1</v>
      </c>
    </row>
    <row r="37" spans="9:16">
      <c r="I37" s="3"/>
      <c r="M37" s="12" t="s">
        <v>160</v>
      </c>
      <c r="N37" s="41">
        <f>ROUND(F$10,2)</f>
        <v>0</v>
      </c>
      <c r="O37" s="41">
        <v>0</v>
      </c>
      <c r="P37" s="16" t="str">
        <f>IF(ISBLANK(F10),"0",IF(F10=0,"1","0"))</f>
        <v>1</v>
      </c>
    </row>
    <row r="38" spans="9:16">
      <c r="I38" s="3"/>
      <c r="M38" s="12" t="s">
        <v>161</v>
      </c>
      <c r="N38" s="41">
        <f>ROUND(G$10,2)</f>
        <v>0</v>
      </c>
      <c r="O38" s="41">
        <v>0</v>
      </c>
      <c r="P38" s="16" t="str">
        <f>IF(ISBLANK(G10),"0",IF(G10=0,"1","0"))</f>
        <v>1</v>
      </c>
    </row>
    <row r="39" spans="9:16">
      <c r="I39" s="3"/>
    </row>
    <row r="40" spans="9:16">
      <c r="M40" s="12" t="s">
        <v>162</v>
      </c>
      <c r="N40" s="41">
        <f>ROUND(C$11,2)</f>
        <v>0.55000000000000004</v>
      </c>
      <c r="O40" s="41">
        <v>0.55000000000000004</v>
      </c>
      <c r="P40" s="16">
        <f t="shared" ref="P40:P44" si="5">IF(N40=O40, 1,0)</f>
        <v>1</v>
      </c>
    </row>
    <row r="41" spans="9:16">
      <c r="M41" s="12" t="s">
        <v>163</v>
      </c>
      <c r="N41" s="41">
        <f>ROUND(D$11,2)</f>
        <v>0.55000000000000004</v>
      </c>
      <c r="O41" s="41">
        <v>0.55000000000000004</v>
      </c>
      <c r="P41" s="16">
        <f t="shared" si="5"/>
        <v>1</v>
      </c>
    </row>
    <row r="42" spans="9:16">
      <c r="M42" s="12" t="s">
        <v>164</v>
      </c>
      <c r="N42" s="41">
        <f>ROUND(E$11,2)</f>
        <v>0.55000000000000004</v>
      </c>
      <c r="O42" s="41">
        <v>0.55000000000000004</v>
      </c>
      <c r="P42" s="16">
        <f t="shared" si="5"/>
        <v>1</v>
      </c>
    </row>
    <row r="43" spans="9:16">
      <c r="M43" s="12" t="s">
        <v>165</v>
      </c>
      <c r="N43" s="41">
        <f>ROUND(F$11,2)</f>
        <v>0.55000000000000004</v>
      </c>
      <c r="O43" s="41">
        <v>0.55000000000000004</v>
      </c>
      <c r="P43" s="16">
        <f t="shared" si="5"/>
        <v>1</v>
      </c>
    </row>
    <row r="44" spans="9:16">
      <c r="M44" s="12" t="s">
        <v>166</v>
      </c>
      <c r="N44" s="41">
        <f>ROUND(G$11,2)</f>
        <v>0.55000000000000004</v>
      </c>
      <c r="O44" s="41">
        <v>0.55000000000000004</v>
      </c>
      <c r="P44" s="16">
        <f t="shared" si="5"/>
        <v>1</v>
      </c>
    </row>
    <row r="46" spans="9:16">
      <c r="M46" s="12" t="s">
        <v>167</v>
      </c>
      <c r="N46" s="41">
        <f>ROUND(C$12,2)</f>
        <v>0.17</v>
      </c>
      <c r="O46" s="41">
        <v>0.17</v>
      </c>
      <c r="P46" s="16">
        <f t="shared" ref="P46:P50" si="6">IF(N46=O46, 1,0)</f>
        <v>1</v>
      </c>
    </row>
    <row r="47" spans="9:16">
      <c r="M47" s="12" t="s">
        <v>168</v>
      </c>
      <c r="N47" s="41">
        <f>ROUND(D$12,2)</f>
        <v>0.17</v>
      </c>
      <c r="O47" s="41">
        <v>0.17</v>
      </c>
      <c r="P47" s="16">
        <f t="shared" si="6"/>
        <v>1</v>
      </c>
    </row>
    <row r="48" spans="9:16">
      <c r="M48" s="12" t="s">
        <v>169</v>
      </c>
      <c r="N48" s="41">
        <f>ROUND(E$12,2)</f>
        <v>0.15</v>
      </c>
      <c r="O48" s="41">
        <v>0.15</v>
      </c>
      <c r="P48" s="16">
        <f t="shared" si="6"/>
        <v>1</v>
      </c>
    </row>
    <row r="49" spans="13:16">
      <c r="M49" s="12" t="s">
        <v>170</v>
      </c>
      <c r="N49" s="41">
        <f>ROUND(F$12,2)</f>
        <v>0.14000000000000001</v>
      </c>
      <c r="O49" s="41">
        <v>0.14000000000000001</v>
      </c>
      <c r="P49" s="16">
        <f t="shared" si="6"/>
        <v>1</v>
      </c>
    </row>
    <row r="50" spans="13:16">
      <c r="M50" s="12" t="s">
        <v>171</v>
      </c>
      <c r="N50" s="41">
        <f>ROUND(G$12,2)</f>
        <v>0.15</v>
      </c>
      <c r="O50" s="41">
        <v>0.15</v>
      </c>
      <c r="P50" s="16">
        <f t="shared" si="6"/>
        <v>1</v>
      </c>
    </row>
    <row r="52" spans="13:16">
      <c r="M52" s="12" t="s">
        <v>172</v>
      </c>
      <c r="N52" s="41">
        <f>ROUND(C$13,2)</f>
        <v>0.45</v>
      </c>
      <c r="O52" s="41">
        <v>0.45</v>
      </c>
      <c r="P52" s="16">
        <f t="shared" ref="P52:P56" si="7">IF(N52=O52, 1,0)</f>
        <v>1</v>
      </c>
    </row>
    <row r="53" spans="13:16">
      <c r="M53" s="12" t="s">
        <v>173</v>
      </c>
      <c r="N53" s="41">
        <f>ROUND(D$13,2)</f>
        <v>0.32</v>
      </c>
      <c r="O53" s="41">
        <v>0.32</v>
      </c>
      <c r="P53" s="16">
        <f t="shared" si="7"/>
        <v>1</v>
      </c>
    </row>
    <row r="54" spans="13:16">
      <c r="M54" s="12" t="s">
        <v>174</v>
      </c>
      <c r="N54" s="41">
        <f>ROUND(E$13,2)</f>
        <v>0.2</v>
      </c>
      <c r="O54" s="41">
        <v>0.2</v>
      </c>
      <c r="P54" s="16">
        <f t="shared" si="7"/>
        <v>1</v>
      </c>
    </row>
    <row r="55" spans="13:16">
      <c r="M55" s="12" t="s">
        <v>175</v>
      </c>
      <c r="N55" s="41">
        <f>ROUND(F$13,2)</f>
        <v>0.17</v>
      </c>
      <c r="O55" s="41">
        <v>0.17</v>
      </c>
      <c r="P55" s="16">
        <f t="shared" si="7"/>
        <v>1</v>
      </c>
    </row>
    <row r="56" spans="13:16" ht="15.75" thickBot="1">
      <c r="M56" s="18" t="s">
        <v>176</v>
      </c>
      <c r="N56" s="42">
        <f>ROUND(G$13,2)</f>
        <v>0.16</v>
      </c>
      <c r="O56" s="42">
        <v>0.16</v>
      </c>
      <c r="P56" s="20">
        <f t="shared" si="7"/>
        <v>1</v>
      </c>
    </row>
    <row r="57" spans="13:16">
      <c r="O57" s="12" t="s">
        <v>105</v>
      </c>
      <c r="P57" s="21">
        <f>SUM(P4:P56)</f>
        <v>43</v>
      </c>
    </row>
  </sheetData>
  <sheetProtection sheet="1" scenarios="1" formatCells="0" formatColumns="0" formatRows="0" insertColumns="0" selectLockedCells="1"/>
  <mergeCells count="2">
    <mergeCell ref="A1:H1"/>
    <mergeCell ref="M1:P1"/>
  </mergeCells>
  <pageMargins left="0.7" right="0.7" top="0.75" bottom="0.75" header="0.3" footer="0.3"/>
  <pageSetup orientation="portrait" horizontalDpi="4294967293" verticalDpi="4294967293" r:id="rId1"/>
  <ignoredErrors>
    <ignoredError sqref="P3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Income Statement</vt:lpstr>
      <vt:lpstr>Balance Sheet</vt:lpstr>
      <vt:lpstr>Cashflow Statement</vt:lpstr>
      <vt:lpstr>Ratios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dc:creator>
  <cp:lastModifiedBy>Exploring</cp:lastModifiedBy>
  <dcterms:created xsi:type="dcterms:W3CDTF">2018-12-19T19:33:07Z</dcterms:created>
  <dcterms:modified xsi:type="dcterms:W3CDTF">2020-07-29T06:56:02Z</dcterms:modified>
</cp:coreProperties>
</file>